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935" windowHeight="8085" firstSheet="8" activeTab="15"/>
  </bookViews>
  <sheets>
    <sheet name="план ввода" sheetId="1" r:id="rId1"/>
    <sheet name="Таблица 1" sheetId="2" r:id="rId2"/>
    <sheet name="Таблица 2" sheetId="4" r:id="rId3"/>
    <sheet name="Таблица 3" sheetId="5" r:id="rId4"/>
    <sheet name="Таблица 4" sheetId="6" r:id="rId5"/>
    <sheet name="Таблица 5" sheetId="7" r:id="rId6"/>
    <sheet name="Таблица 6" sheetId="8" r:id="rId7"/>
    <sheet name="Таблица 7" sheetId="9" r:id="rId8"/>
    <sheet name="Таблица 8" sheetId="10" r:id="rId9"/>
    <sheet name="Таблица 9" sheetId="11" r:id="rId10"/>
    <sheet name="Таблица 10" sheetId="12" r:id="rId11"/>
    <sheet name="Таблица 11" sheetId="13" r:id="rId12"/>
    <sheet name="Таблица 12" sheetId="14" r:id="rId13"/>
    <sheet name="Таблица 13" sheetId="15" r:id="rId14"/>
    <sheet name="Таблица 14" sheetId="16" r:id="rId15"/>
    <sheet name="Таблица 15" sheetId="17" r:id="rId16"/>
  </sheets>
  <definedNames>
    <definedName name="_xlnm.Print_Area" localSheetId="0">'план ввода'!$A$1:$D$5</definedName>
    <definedName name="_xlnm.Print_Area" localSheetId="1">'Таблица 1'!$B$1:$G$30</definedName>
    <definedName name="_xlnm.Print_Area" localSheetId="10">'Таблица 10'!$A$1:$L$53</definedName>
    <definedName name="_xlnm.Print_Area" localSheetId="11">'Таблица 11'!$A$1:$C$58</definedName>
    <definedName name="_xlnm.Print_Area" localSheetId="12">'Таблица 12'!$A$1:$N$12</definedName>
    <definedName name="_xlnm.Print_Area" localSheetId="13">'Таблица 13'!$A$1:$D$10</definedName>
    <definedName name="_xlnm.Print_Area" localSheetId="14">'Таблица 14'!$A$1:$D$46</definedName>
    <definedName name="_xlnm.Print_Area" localSheetId="15">'Таблица 15'!$A$1:$B$15</definedName>
    <definedName name="_xlnm.Print_Area" localSheetId="2">'Таблица 2'!$A$1:$G$10</definedName>
    <definedName name="_xlnm.Print_Area" localSheetId="3">'Таблица 3'!$B$1:$H$14</definedName>
    <definedName name="_xlnm.Print_Area" localSheetId="5">'Таблица 5'!$A$1:$G$24</definedName>
    <definedName name="_xlnm.Print_Area" localSheetId="6">'Таблица 6'!$A$1:$F$13</definedName>
    <definedName name="_xlnm.Print_Area" localSheetId="7">'Таблица 7'!$A$1:$D$17</definedName>
    <definedName name="_xlnm.Print_Area" localSheetId="8">'Таблица 8'!$A$1:$H$17</definedName>
    <definedName name="_xlnm.Print_Area" localSheetId="9">'Таблица 9'!$A$2:$M$72</definedName>
  </definedNames>
  <calcPr calcId="125725"/>
</workbook>
</file>

<file path=xl/calcChain.xml><?xml version="1.0" encoding="utf-8"?>
<calcChain xmlns="http://schemas.openxmlformats.org/spreadsheetml/2006/main">
  <c r="D44" i="16"/>
  <c r="D45"/>
  <c r="D46"/>
  <c r="D8"/>
  <c r="B4" i="17"/>
  <c r="G16" i="16"/>
  <c r="I3" i="7" l="1"/>
  <c r="J3"/>
  <c r="I6"/>
  <c r="E44" i="16"/>
  <c r="G44"/>
  <c r="D32"/>
  <c r="D30"/>
  <c r="D23"/>
  <c r="D19"/>
  <c r="D18"/>
  <c r="D17"/>
  <c r="D16"/>
  <c r="B44"/>
  <c r="D7"/>
  <c r="C7"/>
  <c r="C6"/>
  <c r="C8" s="1"/>
  <c r="B6"/>
  <c r="D6" s="1"/>
  <c r="D5"/>
  <c r="D4"/>
  <c r="D3"/>
  <c r="D9" i="15"/>
  <c r="D8"/>
  <c r="D7"/>
  <c r="C8"/>
  <c r="B8"/>
  <c r="C7"/>
  <c r="B57" i="13"/>
  <c r="B36"/>
  <c r="B29"/>
  <c r="F30"/>
  <c r="E66" i="12"/>
  <c r="K14" i="10"/>
  <c r="B45" i="16"/>
  <c r="D31"/>
  <c r="B8" l="1"/>
  <c r="B9" s="1"/>
  <c r="B31"/>
  <c r="B29"/>
  <c r="G7"/>
  <c r="G6"/>
  <c r="G5"/>
  <c r="F4"/>
  <c r="E24" i="7"/>
  <c r="D24"/>
  <c r="F24" s="1"/>
  <c r="C24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B5" i="17"/>
  <c r="B8" s="1"/>
  <c r="B20" i="16"/>
  <c r="D29"/>
  <c r="D5" i="15"/>
  <c r="D6"/>
  <c r="D4"/>
  <c r="C6"/>
  <c r="B30" i="16"/>
  <c r="B6" i="15"/>
  <c r="B12" i="14"/>
  <c r="D24" i="16"/>
  <c r="B11" i="14"/>
  <c r="B24"/>
  <c r="B23"/>
  <c r="B22"/>
  <c r="B15" i="13"/>
  <c r="B26" s="1"/>
  <c r="D14" i="10"/>
  <c r="D35" i="16"/>
  <c r="D27"/>
  <c r="D20"/>
  <c r="B54" i="13"/>
  <c r="H42" i="12"/>
  <c r="H43"/>
  <c r="H44"/>
  <c r="H45"/>
  <c r="H41"/>
  <c r="L53"/>
  <c r="H48"/>
  <c r="H49"/>
  <c r="H50"/>
  <c r="H47"/>
  <c r="J47" s="1"/>
  <c r="E47" s="1"/>
  <c r="K50"/>
  <c r="G48"/>
  <c r="I48"/>
  <c r="G49"/>
  <c r="I49"/>
  <c r="G50"/>
  <c r="I50"/>
  <c r="I47"/>
  <c r="K47" s="1"/>
  <c r="G47"/>
  <c r="G42"/>
  <c r="I42"/>
  <c r="G43"/>
  <c r="I43"/>
  <c r="G44"/>
  <c r="I44"/>
  <c r="G45"/>
  <c r="I45"/>
  <c r="I41"/>
  <c r="K41" s="1"/>
  <c r="J41"/>
  <c r="E41" s="1"/>
  <c r="G41"/>
  <c r="J38"/>
  <c r="K38"/>
  <c r="G39"/>
  <c r="H39" s="1"/>
  <c r="I39"/>
  <c r="H38"/>
  <c r="I38"/>
  <c r="G38"/>
  <c r="E38" s="1"/>
  <c r="I30"/>
  <c r="I34"/>
  <c r="I33"/>
  <c r="K32"/>
  <c r="G33"/>
  <c r="H33" s="1"/>
  <c r="G34"/>
  <c r="H34" s="1"/>
  <c r="G35"/>
  <c r="H35" s="1"/>
  <c r="I35"/>
  <c r="G36"/>
  <c r="H36" s="1"/>
  <c r="I36"/>
  <c r="H32"/>
  <c r="I32"/>
  <c r="J32"/>
  <c r="E32" s="1"/>
  <c r="G32"/>
  <c r="E25"/>
  <c r="E28"/>
  <c r="E30"/>
  <c r="J24"/>
  <c r="E24"/>
  <c r="I24"/>
  <c r="H24"/>
  <c r="G24"/>
  <c r="K24"/>
  <c r="I25"/>
  <c r="J25"/>
  <c r="K25"/>
  <c r="I26"/>
  <c r="K26"/>
  <c r="I27"/>
  <c r="K27"/>
  <c r="I28"/>
  <c r="J28"/>
  <c r="K28"/>
  <c r="I29"/>
  <c r="K29"/>
  <c r="J30"/>
  <c r="K30"/>
  <c r="G25"/>
  <c r="H25"/>
  <c r="G26"/>
  <c r="H26" s="1"/>
  <c r="G27"/>
  <c r="H27" s="1"/>
  <c r="G28"/>
  <c r="H28" s="1"/>
  <c r="G29"/>
  <c r="H29" s="1"/>
  <c r="G30"/>
  <c r="H30" s="1"/>
  <c r="E16"/>
  <c r="E17"/>
  <c r="E18"/>
  <c r="E22"/>
  <c r="J17"/>
  <c r="K17"/>
  <c r="J18"/>
  <c r="K18"/>
  <c r="J19"/>
  <c r="K19"/>
  <c r="J20"/>
  <c r="K20"/>
  <c r="J21"/>
  <c r="K21"/>
  <c r="J22"/>
  <c r="K22"/>
  <c r="K16"/>
  <c r="J16"/>
  <c r="I17"/>
  <c r="I18"/>
  <c r="I19"/>
  <c r="I20"/>
  <c r="I21"/>
  <c r="I22"/>
  <c r="I16"/>
  <c r="J8"/>
  <c r="I8"/>
  <c r="K8"/>
  <c r="G17"/>
  <c r="H17" s="1"/>
  <c r="G18"/>
  <c r="H18" s="1"/>
  <c r="G19"/>
  <c r="H19" s="1"/>
  <c r="G20"/>
  <c r="H20" s="1"/>
  <c r="G21"/>
  <c r="H21" s="1"/>
  <c r="G22"/>
  <c r="H22" s="1"/>
  <c r="G16"/>
  <c r="H16"/>
  <c r="J9"/>
  <c r="E9"/>
  <c r="E10"/>
  <c r="E14"/>
  <c r="L8"/>
  <c r="E8"/>
  <c r="H8"/>
  <c r="K14"/>
  <c r="J10"/>
  <c r="J14"/>
  <c r="O5"/>
  <c r="L14"/>
  <c r="L9"/>
  <c r="L10"/>
  <c r="G8"/>
  <c r="I9"/>
  <c r="I10"/>
  <c r="I11"/>
  <c r="I12"/>
  <c r="I13"/>
  <c r="I14"/>
  <c r="B13" i="17" l="1"/>
  <c r="B15" s="1"/>
  <c r="D9" i="16"/>
  <c r="D15"/>
  <c r="D28"/>
  <c r="K49" i="12"/>
  <c r="J49"/>
  <c r="E49" s="1"/>
  <c r="K48"/>
  <c r="J48"/>
  <c r="E48" s="1"/>
  <c r="K45"/>
  <c r="J45"/>
  <c r="E45" s="1"/>
  <c r="K44"/>
  <c r="K43"/>
  <c r="K53" s="1"/>
  <c r="K42"/>
  <c r="J42"/>
  <c r="E42" s="1"/>
  <c r="K39"/>
  <c r="J39"/>
  <c r="E39" s="1"/>
  <c r="K36"/>
  <c r="J36"/>
  <c r="E36" s="1"/>
  <c r="K35"/>
  <c r="J35"/>
  <c r="E35" s="1"/>
  <c r="K34"/>
  <c r="J34"/>
  <c r="E34" s="1"/>
  <c r="K33"/>
  <c r="J33"/>
  <c r="E33" s="1"/>
  <c r="G9"/>
  <c r="H9" s="1"/>
  <c r="K9" s="1"/>
  <c r="G10"/>
  <c r="H10" s="1"/>
  <c r="K10" s="1"/>
  <c r="G11"/>
  <c r="H11" s="1"/>
  <c r="K11" s="1"/>
  <c r="G12"/>
  <c r="H12" s="1"/>
  <c r="K12" s="1"/>
  <c r="G13"/>
  <c r="H13" s="1"/>
  <c r="K13" s="1"/>
  <c r="G14"/>
  <c r="H14" s="1"/>
  <c r="L25" i="2" l="1"/>
  <c r="K25"/>
  <c r="F25"/>
  <c r="F27"/>
  <c r="C28"/>
  <c r="E51" i="11"/>
  <c r="E50"/>
  <c r="N57"/>
  <c r="E60"/>
  <c r="E61"/>
  <c r="F61" s="1"/>
  <c r="E62"/>
  <c r="C30" i="2"/>
  <c r="K27"/>
  <c r="J27"/>
  <c r="C8" i="4"/>
  <c r="C7"/>
  <c r="E66" i="11"/>
  <c r="K66" s="1"/>
  <c r="M66" s="1"/>
  <c r="E65"/>
  <c r="K65" s="1"/>
  <c r="M65" s="1"/>
  <c r="F60"/>
  <c r="E56"/>
  <c r="F56" s="1"/>
  <c r="E55"/>
  <c r="F55" s="1"/>
  <c r="E54"/>
  <c r="F54" s="1"/>
  <c r="K51"/>
  <c r="M51" s="1"/>
  <c r="K50"/>
  <c r="M50" s="1"/>
  <c r="E45"/>
  <c r="F45" s="1"/>
  <c r="E44"/>
  <c r="F44" s="1"/>
  <c r="E43"/>
  <c r="F43" s="1"/>
  <c r="E42"/>
  <c r="F42" s="1"/>
  <c r="E15"/>
  <c r="F15" s="1"/>
  <c r="H15" s="1"/>
  <c r="K15" s="1"/>
  <c r="M15" s="1"/>
  <c r="E14"/>
  <c r="E17"/>
  <c r="E16"/>
  <c r="F16" s="1"/>
  <c r="H16" s="1"/>
  <c r="K16" s="1"/>
  <c r="M16" s="1"/>
  <c r="E19"/>
  <c r="E18"/>
  <c r="F18" s="1"/>
  <c r="H18" s="1"/>
  <c r="K18" s="1"/>
  <c r="M18" s="1"/>
  <c r="E34"/>
  <c r="F34" s="1"/>
  <c r="E33"/>
  <c r="K33" s="1"/>
  <c r="M33" s="1"/>
  <c r="E32"/>
  <c r="K32" s="1"/>
  <c r="M32" s="1"/>
  <c r="E31"/>
  <c r="K31" s="1"/>
  <c r="M31" s="1"/>
  <c r="D13" i="10"/>
  <c r="G17"/>
  <c r="G11"/>
  <c r="G15"/>
  <c r="G16"/>
  <c r="J13"/>
  <c r="D12"/>
  <c r="E46" i="11"/>
  <c r="F46" s="1"/>
  <c r="E12"/>
  <c r="F12" s="1"/>
  <c r="H12" s="1"/>
  <c r="K12" s="1"/>
  <c r="M12" s="1"/>
  <c r="N52" l="1"/>
  <c r="F65"/>
  <c r="F66"/>
  <c r="K60"/>
  <c r="M60" s="1"/>
  <c r="K61"/>
  <c r="M61" s="1"/>
  <c r="K54"/>
  <c r="M54" s="1"/>
  <c r="K55"/>
  <c r="M55" s="1"/>
  <c r="K56"/>
  <c r="M56" s="1"/>
  <c r="K45"/>
  <c r="M45" s="1"/>
  <c r="F50"/>
  <c r="F51"/>
  <c r="K42"/>
  <c r="M42" s="1"/>
  <c r="K43"/>
  <c r="M43" s="1"/>
  <c r="K44"/>
  <c r="M44" s="1"/>
  <c r="F14"/>
  <c r="H14" s="1"/>
  <c r="K14" s="1"/>
  <c r="M14" s="1"/>
  <c r="F17"/>
  <c r="H17" s="1"/>
  <c r="K17" s="1"/>
  <c r="M17" s="1"/>
  <c r="F31"/>
  <c r="F32"/>
  <c r="K34"/>
  <c r="M34" s="1"/>
  <c r="F33"/>
  <c r="F19"/>
  <c r="H19" s="1"/>
  <c r="K19" s="1"/>
  <c r="M19" s="1"/>
  <c r="B42" i="16"/>
  <c r="D36" s="1"/>
  <c r="D3" i="15" l="1"/>
  <c r="J5" i="6"/>
  <c r="Q5"/>
  <c r="B9" i="15" l="1"/>
  <c r="B4" i="13"/>
  <c r="B5" s="1"/>
  <c r="K9" i="14"/>
  <c r="J8"/>
  <c r="I8"/>
  <c r="C5"/>
  <c r="D5"/>
  <c r="E5"/>
  <c r="F5"/>
  <c r="N6"/>
  <c r="M6"/>
  <c r="N5"/>
  <c r="M5"/>
  <c r="G5"/>
  <c r="G6"/>
  <c r="L8"/>
  <c r="E6"/>
  <c r="C6"/>
  <c r="B9" i="13" l="1"/>
  <c r="B7"/>
  <c r="B8"/>
  <c r="B6"/>
  <c r="B45"/>
  <c r="B55" s="1"/>
  <c r="E67" i="11" l="1"/>
  <c r="K67" s="1"/>
  <c r="M67" s="1"/>
  <c r="N68" s="1"/>
  <c r="K62"/>
  <c r="M62" s="1"/>
  <c r="E59"/>
  <c r="K59" s="1"/>
  <c r="M59" s="1"/>
  <c r="E47"/>
  <c r="F47" s="1"/>
  <c r="E41"/>
  <c r="F41" s="1"/>
  <c r="E40"/>
  <c r="F40" s="1"/>
  <c r="E39"/>
  <c r="F39" s="1"/>
  <c r="E38"/>
  <c r="F38" s="1"/>
  <c r="E37"/>
  <c r="F37" s="1"/>
  <c r="E30"/>
  <c r="K30" s="1"/>
  <c r="F30" s="1"/>
  <c r="E29"/>
  <c r="K29" s="1"/>
  <c r="E28"/>
  <c r="K28" s="1"/>
  <c r="F28" s="1"/>
  <c r="E27"/>
  <c r="K27" s="1"/>
  <c r="E26"/>
  <c r="K26" s="1"/>
  <c r="F26" s="1"/>
  <c r="E25"/>
  <c r="K25" s="1"/>
  <c r="E24"/>
  <c r="K24" s="1"/>
  <c r="F24" s="1"/>
  <c r="E23"/>
  <c r="K23" s="1"/>
  <c r="F23" s="1"/>
  <c r="E22"/>
  <c r="K22" s="1"/>
  <c r="E13"/>
  <c r="E11"/>
  <c r="E10"/>
  <c r="E9"/>
  <c r="E8"/>
  <c r="E7"/>
  <c r="F7" s="1"/>
  <c r="N63" l="1"/>
  <c r="F27"/>
  <c r="M27"/>
  <c r="F22"/>
  <c r="M22"/>
  <c r="F25"/>
  <c r="M25"/>
  <c r="F29"/>
  <c r="M29"/>
  <c r="K37"/>
  <c r="M37" s="1"/>
  <c r="K38"/>
  <c r="M38" s="1"/>
  <c r="K39"/>
  <c r="M39" s="1"/>
  <c r="K40"/>
  <c r="M40" s="1"/>
  <c r="K41"/>
  <c r="M41" s="1"/>
  <c r="K46"/>
  <c r="M46" s="1"/>
  <c r="K47"/>
  <c r="M47" s="1"/>
  <c r="M23"/>
  <c r="M24"/>
  <c r="M26"/>
  <c r="M28"/>
  <c r="M30"/>
  <c r="F59"/>
  <c r="F62"/>
  <c r="F67"/>
  <c r="F16" i="10"/>
  <c r="E16"/>
  <c r="D16"/>
  <c r="H11"/>
  <c r="H15" s="1"/>
  <c r="F11"/>
  <c r="F17" s="1"/>
  <c r="E11"/>
  <c r="E17" s="1"/>
  <c r="D11"/>
  <c r="D15" s="1"/>
  <c r="G10"/>
  <c r="F10"/>
  <c r="E10"/>
  <c r="D10"/>
  <c r="G9"/>
  <c r="F9"/>
  <c r="E9"/>
  <c r="D9"/>
  <c r="N6"/>
  <c r="M6"/>
  <c r="L6"/>
  <c r="K6"/>
  <c r="D6"/>
  <c r="H5"/>
  <c r="G5"/>
  <c r="F5"/>
  <c r="E5"/>
  <c r="D5"/>
  <c r="D13" i="9"/>
  <c r="C13"/>
  <c r="D6"/>
  <c r="C5"/>
  <c r="D13" i="8"/>
  <c r="C13"/>
  <c r="F12"/>
  <c r="E12"/>
  <c r="F11"/>
  <c r="E11"/>
  <c r="F10"/>
  <c r="E10"/>
  <c r="F9"/>
  <c r="E9"/>
  <c r="F8"/>
  <c r="E8"/>
  <c r="F7"/>
  <c r="E7"/>
  <c r="F6"/>
  <c r="E6"/>
  <c r="F5"/>
  <c r="E5"/>
  <c r="F4"/>
  <c r="E4"/>
  <c r="F3"/>
  <c r="E3"/>
  <c r="G7" i="7" s="1"/>
  <c r="F7"/>
  <c r="E7"/>
  <c r="G6"/>
  <c r="F6"/>
  <c r="G5"/>
  <c r="F5"/>
  <c r="G4"/>
  <c r="F4"/>
  <c r="G3"/>
  <c r="F3"/>
  <c r="T15" i="6"/>
  <c r="S15"/>
  <c r="R15"/>
  <c r="Q15"/>
  <c r="M15" s="1"/>
  <c r="L15" s="1"/>
  <c r="K15"/>
  <c r="J15"/>
  <c r="U14" s="1"/>
  <c r="T14"/>
  <c r="S14"/>
  <c r="R14"/>
  <c r="Q14" s="1"/>
  <c r="R13"/>
  <c r="Q13"/>
  <c r="K13"/>
  <c r="J13"/>
  <c r="U12"/>
  <c r="T12"/>
  <c r="S12"/>
  <c r="R12"/>
  <c r="Q12"/>
  <c r="N12"/>
  <c r="M12"/>
  <c r="L12"/>
  <c r="K12" s="1"/>
  <c r="E13" i="8" l="1"/>
  <c r="F13" s="1"/>
  <c r="H13" s="1"/>
  <c r="N48" i="11"/>
  <c r="N35"/>
  <c r="F15" i="10"/>
  <c r="E15"/>
  <c r="D17"/>
  <c r="J12" i="6"/>
  <c r="T11"/>
  <c r="Q11"/>
  <c r="M11"/>
  <c r="J11"/>
  <c r="I11"/>
  <c r="T10"/>
  <c r="S10"/>
  <c r="Q10"/>
  <c r="M10"/>
  <c r="L10"/>
  <c r="J10"/>
  <c r="I10"/>
  <c r="G10" l="1"/>
  <c r="F10"/>
  <c r="T9"/>
  <c r="S9"/>
  <c r="Q9"/>
  <c r="M9"/>
  <c r="L9"/>
  <c r="J9"/>
  <c r="I9"/>
  <c r="G9"/>
  <c r="F9"/>
  <c r="S8"/>
  <c r="R8"/>
  <c r="Q8"/>
  <c r="L8"/>
  <c r="K8"/>
  <c r="J8"/>
  <c r="I8"/>
  <c r="F8"/>
  <c r="E8"/>
  <c r="S7"/>
  <c r="R7"/>
  <c r="Q7"/>
  <c r="L7"/>
  <c r="K7"/>
  <c r="J7"/>
  <c r="I7"/>
  <c r="G7"/>
  <c r="E7"/>
  <c r="S6"/>
  <c r="R6"/>
  <c r="Q6"/>
  <c r="L6"/>
  <c r="K6"/>
  <c r="J6"/>
  <c r="I6"/>
  <c r="F6"/>
  <c r="E6"/>
  <c r="R5"/>
  <c r="K5"/>
  <c r="I5"/>
  <c r="E5"/>
  <c r="D5"/>
  <c r="G13" i="5"/>
  <c r="F13"/>
  <c r="G12"/>
  <c r="F12"/>
  <c r="F11"/>
  <c r="E11"/>
  <c r="E10"/>
  <c r="F9"/>
  <c r="E9"/>
  <c r="E8"/>
  <c r="D8"/>
  <c r="G8" i="4"/>
  <c r="F8"/>
  <c r="F7"/>
  <c r="G30" i="2"/>
  <c r="F30"/>
  <c r="E30"/>
  <c r="D30"/>
  <c r="L29"/>
  <c r="K29" s="1"/>
  <c r="J29"/>
  <c r="G29"/>
  <c r="F29"/>
  <c r="L27" s="1"/>
  <c r="G27"/>
  <c r="J25"/>
  <c r="L23" s="1"/>
  <c r="K23" s="1"/>
  <c r="J23"/>
  <c r="F23"/>
  <c r="E23"/>
  <c r="L21" s="1"/>
  <c r="K21" s="1"/>
  <c r="J21"/>
  <c r="F21"/>
  <c r="E21"/>
  <c r="L19" s="1"/>
  <c r="K19" s="1"/>
  <c r="J19"/>
  <c r="E19"/>
  <c r="D19"/>
  <c r="L17" s="1"/>
  <c r="K17" s="1"/>
  <c r="J17"/>
  <c r="E17" s="1"/>
  <c r="D17"/>
  <c r="L15" s="1"/>
  <c r="K15" s="1"/>
  <c r="J15"/>
  <c r="E15"/>
  <c r="D15" l="1"/>
  <c r="L13"/>
  <c r="K13" s="1"/>
  <c r="J13"/>
  <c r="D13" s="1"/>
  <c r="C13"/>
  <c r="F8" i="11" l="1"/>
  <c r="H8" s="1"/>
  <c r="K8" s="1"/>
  <c r="M8" s="1"/>
  <c r="F10"/>
  <c r="H10" s="1"/>
  <c r="K10" s="1"/>
  <c r="M10" s="1"/>
  <c r="H7"/>
  <c r="K7" s="1"/>
  <c r="M7" s="1"/>
  <c r="F9"/>
  <c r="H9" s="1"/>
  <c r="K9" s="1"/>
  <c r="M9" s="1"/>
  <c r="F13"/>
  <c r="H13" s="1"/>
  <c r="K13" s="1"/>
  <c r="M13" s="1"/>
  <c r="F11"/>
  <c r="H11" s="1"/>
  <c r="K11" s="1"/>
  <c r="M11" s="1"/>
  <c r="N8" i="14"/>
  <c r="D6"/>
  <c r="M8"/>
  <c r="N20" i="11" l="1"/>
  <c r="M69" s="1"/>
  <c r="M71" s="1"/>
  <c r="F6" i="14"/>
  <c r="M70" i="11" l="1"/>
  <c r="M72" l="1"/>
</calcChain>
</file>

<file path=xl/sharedStrings.xml><?xml version="1.0" encoding="utf-8"?>
<sst xmlns="http://schemas.openxmlformats.org/spreadsheetml/2006/main" count="1093" uniqueCount="383">
  <si>
    <t>Наименование заказчиков и объектов</t>
  </si>
  <si>
    <t>Вводимая мощность</t>
  </si>
  <si>
    <t>Сроки строительства</t>
  </si>
  <si>
    <t>Начало работ</t>
  </si>
  <si>
    <t>Окончание работ</t>
  </si>
  <si>
    <t>1000 м2</t>
  </si>
  <si>
    <t>План на 2011 год</t>
  </si>
  <si>
    <t>в том числе</t>
  </si>
  <si>
    <t>I кв.</t>
  </si>
  <si>
    <t>II кв.</t>
  </si>
  <si>
    <t>III кв.</t>
  </si>
  <si>
    <t>IV кв.</t>
  </si>
  <si>
    <t>-</t>
  </si>
  <si>
    <t>ОАО "ВСЖД" Производственный склад</t>
  </si>
  <si>
    <t>пятница</t>
  </si>
  <si>
    <t>суббота</t>
  </si>
  <si>
    <t>воскресенье</t>
  </si>
  <si>
    <t>понедельник</t>
  </si>
  <si>
    <t>вторник</t>
  </si>
  <si>
    <t>среда</t>
  </si>
  <si>
    <t>четверг</t>
  </si>
  <si>
    <t xml:space="preserve"> </t>
  </si>
  <si>
    <t>Общий объем работ</t>
  </si>
  <si>
    <t xml:space="preserve">Разработка грунта вручную в траншеях шириной более 2 м и котлованах площадью сечения до 5 м2 с креплениями, глубина траншей и котлованов до 2 м, группа грунтов: 4 (учебный пример) </t>
  </si>
  <si>
    <t xml:space="preserve">Устройство бетонных фундаментов общего назначения объемом: до 5 м3 (учебный пример) </t>
  </si>
  <si>
    <t xml:space="preserve">Засыпка вручную траншей, пазух котлованов и ям, группа грунтов: 3 (учебный пример) </t>
  </si>
  <si>
    <t xml:space="preserve">Монтаж колонн одноэтажных и многоэтажных зданий и крановых эстакад высотой до 25 м цельного сечения массой: до 3,0 т (учебный пример) </t>
  </si>
  <si>
    <t xml:space="preserve">Монтаж стропильных и подстропильных ферм на высоте до 25 м пролетом до 24 м массой: до 3,0 т (учебный пример) </t>
  </si>
  <si>
    <t xml:space="preserve">Установка в сооружениях угловых лотков сечением: до 0,2 м2 (учебный пример) </t>
  </si>
  <si>
    <t xml:space="preserve">Установка панелей наружных стен одноэтажных зданий длиной более 7 м, площадью более 15 м2 при высоте здания: до 35 м (учебный пример) </t>
  </si>
  <si>
    <t xml:space="preserve">Утепление покрытий: легким (ячеистым) бетоном (учебный пример) </t>
  </si>
  <si>
    <t xml:space="preserve">Устройство кровель плоских четырехслойных из рулонных кровельных материалов: на битумной антисептированной мастике с защитным слоем из гравия на битумной антисептированной мастике (учебный пример) </t>
  </si>
  <si>
    <t xml:space="preserve">Устройство покрытий цементных: толщиной 20 мм (учебный пример) </t>
  </si>
  <si>
    <t xml:space="preserve">Штукатурка внутренних поверхностей наружных стен, когда остальные поверхности не оштукатуриваются, известковым раствором по камню и бетону: улучшенная (учебный пример) </t>
  </si>
  <si>
    <t xml:space="preserve">Улучшенная окраска масляными составами по штукатурке: стен (учебный пример) </t>
  </si>
  <si>
    <t>руб</t>
  </si>
  <si>
    <t>Разработка грунта вручную в траншеях шириной более 2 м и котлованах площадью сечения до 5 м2 с креплениями, глубина траншей и котлованов до 2 м, группа грунтов: 4 (учебный пример) %</t>
  </si>
  <si>
    <t xml:space="preserve">Устройство бетонных фундаментов общего назначения объемом: до 5 м3 (учебный пример) % </t>
  </si>
  <si>
    <t>Засыпка вручную траншей, пазух котлованов и ям, группа грунтов: 3 (учебный пример)  %</t>
  </si>
  <si>
    <t>Монтаж колонн одноэтажных и многоэтажных зданий и крановых эстакад высотой до 25 м цельного сечения массой: до 3,0 т (учебный пример)  %</t>
  </si>
  <si>
    <t>Монтаж стропильных и подстропильных ферм на высоте до 25 м пролетом до 24 м массой: до 3,0 т (учебный пример)  %</t>
  </si>
  <si>
    <t>Установка в сооружениях угловых лотков сечением: до 0,2 м2 (учебный пример)  %</t>
  </si>
  <si>
    <t>Установка панелей наружных стен одноэтажных зданий длиной более 7 м, площадью более 15 м2 при высоте здания: до 35 м (учебный пример)  %</t>
  </si>
  <si>
    <t>Утепление покрытий: легким (ячеистым) бетоном (учебный пример)  %</t>
  </si>
  <si>
    <t>Устройство кровель плоских четырехслойных из рулонных кровельных материалов: на битумной антисептированной мастике с защитным слоем из гравия на битумной антисептированной мастике (учебный пример)   %</t>
  </si>
  <si>
    <t>Устройство покрытий цементных: толщиной 20 мм (учебный пример)  %</t>
  </si>
  <si>
    <t>Штукатурка внутренних поверхностей наружных стен, когда остальные поверхности не оштукатуриваются, известковым раствором по камню и бетону: улучшенная (учебный пример)  %</t>
  </si>
  <si>
    <t>Улучшенная окраска масляными составами по штукатурке: стен (учебный пример)   %</t>
  </si>
  <si>
    <t>временные здания</t>
  </si>
  <si>
    <t>+зимнее удорож-е</t>
  </si>
  <si>
    <t>+непредвиденные расходы</t>
  </si>
  <si>
    <t>№</t>
  </si>
  <si>
    <t>Показатели</t>
  </si>
  <si>
    <t>План на год</t>
  </si>
  <si>
    <t>В том числе</t>
  </si>
  <si>
    <t>Объем работ по ген.подряду</t>
  </si>
  <si>
    <t>Объем работ собственными силами</t>
  </si>
  <si>
    <t>Объем работ выполненных суб.подрядными организациями (услуги сторонних организаций - ОАО "СибАвиаСтрой")</t>
  </si>
  <si>
    <t xml:space="preserve"> 4.1</t>
  </si>
  <si>
    <t xml:space="preserve"> 4.2</t>
  </si>
  <si>
    <t>из сметы</t>
  </si>
  <si>
    <t xml:space="preserve"> План ввода мощностей и объемов</t>
  </si>
  <si>
    <t>Наименование объектов и работ (собственными силами)</t>
  </si>
  <si>
    <t>Ед.изм.</t>
  </si>
  <si>
    <t xml:space="preserve"> Таблица 4.  План подрядных работ в натуральных единицах измерения</t>
  </si>
  <si>
    <t>Таблица 2.  План подрядных работ по исполнителю</t>
  </si>
  <si>
    <t>Таблица 1.  План подрядных работ по заказчикам и объектам</t>
  </si>
  <si>
    <t>100 м3 грунта</t>
  </si>
  <si>
    <t>100 м3 бетона и железобетона в деле</t>
  </si>
  <si>
    <t>1 т конструкций</t>
  </si>
  <si>
    <t>100 м3 сборных железобетонных конструкций</t>
  </si>
  <si>
    <t>100 шт. сборных конструкций</t>
  </si>
  <si>
    <t>1 м3 утеплителя</t>
  </si>
  <si>
    <t>100 м2 кровли</t>
  </si>
  <si>
    <t>100 м2 покрытия</t>
  </si>
  <si>
    <t>Наименование объектов и строительных работ</t>
  </si>
  <si>
    <t>Ед.измерения</t>
  </si>
  <si>
    <t>План работ на год</t>
  </si>
  <si>
    <t>Затраты труда на единицу работ, чел/дн</t>
  </si>
  <si>
    <t>Затраты труда на годовой объем работ, чел/дн</t>
  </si>
  <si>
    <t>Средний разряд работ</t>
  </si>
  <si>
    <t>Часовая тарифная ставка в рублях</t>
  </si>
  <si>
    <t>Зарплата рабочих на годовой объем работ</t>
  </si>
  <si>
    <t>I</t>
  </si>
  <si>
    <t>II</t>
  </si>
  <si>
    <t>III</t>
  </si>
  <si>
    <t>IV</t>
  </si>
  <si>
    <t xml:space="preserve"> -</t>
  </si>
  <si>
    <t>Итого затраты труда и основная з/п рабочих</t>
  </si>
  <si>
    <t>Всего затраты труда и з/п рабочих</t>
  </si>
  <si>
    <t>Таблица 4. Калькуляция затрат труда и заработной платы рабочих</t>
  </si>
  <si>
    <t>Дополнительная з/п 10%</t>
  </si>
  <si>
    <t xml:space="preserve">Специальность </t>
  </si>
  <si>
    <t>Квалификация</t>
  </si>
  <si>
    <t>Кол-во рабочих-повременщиков</t>
  </si>
  <si>
    <t>Часовая тарифная ставка</t>
  </si>
  <si>
    <t>Дневная тарифная ставка</t>
  </si>
  <si>
    <t>З/п за месяц</t>
  </si>
  <si>
    <t>Электрик</t>
  </si>
  <si>
    <t>Слесарь</t>
  </si>
  <si>
    <t xml:space="preserve">Разнорабочий </t>
  </si>
  <si>
    <t>Сторож</t>
  </si>
  <si>
    <t>Итого:</t>
  </si>
  <si>
    <t>Таблиа 5. Расчет з/п рабочих-повременщиков</t>
  </si>
  <si>
    <t>Наименование отделов, служб и специалистов</t>
  </si>
  <si>
    <t>Кол-во специалистов</t>
  </si>
  <si>
    <t>Должностной оклад за мес.,руб.</t>
  </si>
  <si>
    <t>Надбавки, руб. (20%)</t>
  </si>
  <si>
    <t>З/п за месяц + Надбавки</t>
  </si>
  <si>
    <t>Генеральный директор</t>
  </si>
  <si>
    <t>Главный инженер</t>
  </si>
  <si>
    <t>Главный бухгалтер</t>
  </si>
  <si>
    <t>Бухгалтер-Кассир</t>
  </si>
  <si>
    <t>Экономист</t>
  </si>
  <si>
    <t>Экономист-Сметчик</t>
  </si>
  <si>
    <t>Иженер по снабжению</t>
  </si>
  <si>
    <t>Прораб</t>
  </si>
  <si>
    <t>Таблица 6. Штатное расписание</t>
  </si>
  <si>
    <t>Начальник ПТО</t>
  </si>
  <si>
    <t xml:space="preserve"> Логист</t>
  </si>
  <si>
    <t xml:space="preserve">Кол-во дней </t>
  </si>
  <si>
    <t>% к номинальному фонду рабочего времени</t>
  </si>
  <si>
    <t>Общее кол-во дней за год (в 2011г.)</t>
  </si>
  <si>
    <t>Кол-во выходных и праздничных дней по календарю</t>
  </si>
  <si>
    <t>Номинальный фонд рабочего времени</t>
  </si>
  <si>
    <t>Кол-во дней не выходов на работу:</t>
  </si>
  <si>
    <t>Очередной отпуск</t>
  </si>
  <si>
    <t>По болезни (по данным учета прошлых лет)</t>
  </si>
  <si>
    <t>Административный отпуск</t>
  </si>
  <si>
    <t>Отпуск по учебе</t>
  </si>
  <si>
    <t>Простои по метеоусловиям</t>
  </si>
  <si>
    <t>Прогулы</t>
  </si>
  <si>
    <t>Кол-во выходов на работу в среднем на одного рабочего в день,в т.ч.</t>
  </si>
  <si>
    <t>1кв</t>
  </si>
  <si>
    <t>2кв</t>
  </si>
  <si>
    <t>3кв</t>
  </si>
  <si>
    <t>4кв</t>
  </si>
  <si>
    <t>Таблица 7. Баланс рабочего времени</t>
  </si>
  <si>
    <t>Объём работ, выполненных собственными силами</t>
  </si>
  <si>
    <t>Тыс. руб.</t>
  </si>
  <si>
    <t>Среднесписочная численность:</t>
  </si>
  <si>
    <t>Чел.</t>
  </si>
  <si>
    <t>- рабочих-сдельщиков</t>
  </si>
  <si>
    <t>- рабочих повременщиков</t>
  </si>
  <si>
    <t>- аппарата управления</t>
  </si>
  <si>
    <t>Выработка на одного работающего</t>
  </si>
  <si>
    <t>- выработка на одного рабочего</t>
  </si>
  <si>
    <t>Затраты на оплату труда работников</t>
  </si>
  <si>
    <t>Средняя з/п одного работающего</t>
  </si>
  <si>
    <t>Средняя з/п одного рабочего</t>
  </si>
  <si>
    <t>Удельный вес затрат на оплату труда в объёме СМР, выполненном собственными силами</t>
  </si>
  <si>
    <t>Таблица 8. План по труду и з/п</t>
  </si>
  <si>
    <t>Зимнее удорожание 4,4%</t>
  </si>
  <si>
    <t>год</t>
  </si>
  <si>
    <t>ср спис числть</t>
  </si>
  <si>
    <t>Тыс.  руб</t>
  </si>
  <si>
    <t>Тыс.   руб</t>
  </si>
  <si>
    <t>Наименование объектов, работ и материалов</t>
  </si>
  <si>
    <t>Ед. измерения</t>
  </si>
  <si>
    <t>Потребность в материалах на ед.измерения</t>
  </si>
  <si>
    <t>Потребность в материалах на годовой объем работ</t>
  </si>
  <si>
    <t>Дневной расход материалов</t>
  </si>
  <si>
    <t>Запас материала на начало планируемого периода</t>
  </si>
  <si>
    <t>Запас материала на конец планируемого периода</t>
  </si>
  <si>
    <t>Потребность в материалах с учетом запасов</t>
  </si>
  <si>
    <t>Отпускная цена завода изготовителя (оптовая база)</t>
  </si>
  <si>
    <t>Стоимость материалов и конструкций на годовой объем работ</t>
  </si>
  <si>
    <t>Дн.</t>
  </si>
  <si>
    <t>Кол-во</t>
  </si>
  <si>
    <t>т</t>
  </si>
  <si>
    <t>Гвозди строительные</t>
  </si>
  <si>
    <t>м3</t>
  </si>
  <si>
    <t>м2</t>
  </si>
  <si>
    <t>шт</t>
  </si>
  <si>
    <t>Вода</t>
  </si>
  <si>
    <t>Болты строительные с гайками и шайбами</t>
  </si>
  <si>
    <t>Смеси бетонные, готовые к употреблению: бетон легкий на пористых заполнителях, объемная масса 800 кг/м3, крупность заполнителя более 10 мм, класс: В 7,5 (М100)</t>
  </si>
  <si>
    <t>Песок природный для строительных работ средний</t>
  </si>
  <si>
    <t>Мастика битумная кровельная горячая</t>
  </si>
  <si>
    <t>Рубероид кровельный с мелкой посыпкой РМ-350</t>
  </si>
  <si>
    <t>Симазин 50%-ный порошок смачивающийся</t>
  </si>
  <si>
    <t>Гравий для строительных работ марка Др.8, фракция 5(3)-10 мм</t>
  </si>
  <si>
    <t>Итого стоимость материалов и конструкций  в отпускных ценах</t>
  </si>
  <si>
    <t>Транспортные расходы (10%)</t>
  </si>
  <si>
    <t>Заготовительно-складские расходы (12%)</t>
  </si>
  <si>
    <t>Всего стоимость материалов в ценах Франко-приобъектный склад</t>
  </si>
  <si>
    <t>Таблица 9. Планирование затрат на материалы и конструкции</t>
  </si>
  <si>
    <t>Канаты пеньковые пропитанные</t>
  </si>
  <si>
    <t>Кислород технический газообразный</t>
  </si>
  <si>
    <t>Швеллеры № 40, сталь марки Ст0</t>
  </si>
  <si>
    <t>Электроды диаметром 4 мм Э42</t>
  </si>
  <si>
    <t>Круг шлифовальный 230х5х22</t>
  </si>
  <si>
    <t>Пиломатериалы хвойных пород. Бруски обрезные длиной 4-6,5 м, шириной 75-150 мм, толщиной 40-75 мм I сорта</t>
  </si>
  <si>
    <t>Грунтовка ГФ-021 красно-коричневая</t>
  </si>
  <si>
    <t>Растворитель марки Р-4</t>
  </si>
  <si>
    <t>Отдельные конструктивные элементы зданий и сооружений с преобладанием горячекатаных профилей, средняя масса сборочной единицы свыше 0,1 до 0,5 т</t>
  </si>
  <si>
    <t>Канат двойной свивки типа ТК оцинкованный из проволок марки В, маркировочная группа 1770 н/мм2, диаметром 5,5 мм</t>
  </si>
  <si>
    <t>Пропан-бутан, смесь техническая</t>
  </si>
  <si>
    <t>10м</t>
  </si>
  <si>
    <t>кг</t>
  </si>
  <si>
    <t>Поковки из квадратных заготовок массой 1,8 кг</t>
  </si>
  <si>
    <t>Электроды диаметром 6 мм Э42</t>
  </si>
  <si>
    <t>Сетка сварная с ячейкой 10 из арматурной стали А1 диаметром 6 мм</t>
  </si>
  <si>
    <t>Пиломатериалы хвойных пород. Доски обрезные длиной 4-6,5 м, шириной 75-150 мм, толщиной 25 мм, III сорта</t>
  </si>
  <si>
    <t>Бетон тяжелый, крупность заполнителя 10 мм, класс В 22,5 (М300)</t>
  </si>
  <si>
    <t>Раствор готовый кладочный цементный, марка 100</t>
  </si>
  <si>
    <t>Конструктивные элементы вспомогательного назначения, с преобладанием профильного проката собираемые из двух и более деталей, с отверстиями и без отверстий, соединяемые на сварке</t>
  </si>
  <si>
    <t>Раствор готовый кладочный цементный, марка 200</t>
  </si>
  <si>
    <t>Наименование</t>
  </si>
  <si>
    <t>Кол-во машин</t>
  </si>
  <si>
    <t>Краны башенные при работе на других видах строительства (кроме монтажа технологического оборудования) 8 т</t>
  </si>
  <si>
    <t>Краны на автомобильном ходу при работе на других видах строительства (кроме магистральных трубопроводов) 10 т</t>
  </si>
  <si>
    <t>Автомобили бортовые грузоподъемностью до 5 т</t>
  </si>
  <si>
    <t>Автопогрузчики 5 т</t>
  </si>
  <si>
    <t>Котлы битумные передвижные 400 л</t>
  </si>
  <si>
    <t>Краны на гусеничном ходу при работе на других видах строительства (кроме магистральных трубопроводов) 25 т</t>
  </si>
  <si>
    <t>Аппараты для газовой сварки и резки</t>
  </si>
  <si>
    <t>Преобразователи сварочные с номинальным сварочным током 315-500 А</t>
  </si>
  <si>
    <t>Таблица 10. Планирование затрат на эксплуатацию машин и механизмов</t>
  </si>
  <si>
    <t>Краны на автомобильном ходу при работе на других видах строительства (кроме магистральных трубопроводов) 16 т</t>
  </si>
  <si>
    <t>Аппараты пескоструйные</t>
  </si>
  <si>
    <t>Краны на гусеничном ходу при работе на других видах строительства (кроме магистральных трубопроводов) 50-63 т</t>
  </si>
  <si>
    <t>Установки для сварки ручной дуговой (постоянного тока)</t>
  </si>
  <si>
    <t>Полуприцепы-тяжеловозы 40 т</t>
  </si>
  <si>
    <t>Подъемники мачтовые строительные 0,5 т</t>
  </si>
  <si>
    <t>Компрессоры передвижные с двигателем внутреннего сгорания давлением до 686 кПа (7 ат) 5 м3/мин</t>
  </si>
  <si>
    <t>Статьи накладных расходов</t>
  </si>
  <si>
    <t>Сумма,т.р</t>
  </si>
  <si>
    <t>%</t>
  </si>
  <si>
    <t>1 Административно-хозяйственные расходы</t>
  </si>
  <si>
    <t>1.1 Основная и дополнительная з/п аппарата управления</t>
  </si>
  <si>
    <t>1.3 Коммунальные платежи</t>
  </si>
  <si>
    <t>1.4 Эксплуатационные расходы</t>
  </si>
  <si>
    <t>1.5 Услуги связи</t>
  </si>
  <si>
    <t>1.6 Расходы на канцтовары</t>
  </si>
  <si>
    <t>НР по смете</t>
  </si>
  <si>
    <t>1.7 Командировочные расходы</t>
  </si>
  <si>
    <t xml:space="preserve">Всего по смете </t>
  </si>
  <si>
    <t>1.8 Услуги банка</t>
  </si>
  <si>
    <t>1.9 Амортизация</t>
  </si>
  <si>
    <t xml:space="preserve">Доля работ выполненных в 2011 </t>
  </si>
  <si>
    <t xml:space="preserve"> Прочие</t>
  </si>
  <si>
    <t>Сметный лимит НР в 2011</t>
  </si>
  <si>
    <t>По смете</t>
  </si>
  <si>
    <t>По плану</t>
  </si>
  <si>
    <t>2 Затраты по обслуживанию рабочих</t>
  </si>
  <si>
    <t>2.1 Дополнительная з/п рабочих</t>
  </si>
  <si>
    <t>2.3 Охрана труда и техники безопасности</t>
  </si>
  <si>
    <t>2.4 Строй инвентарь</t>
  </si>
  <si>
    <t>2.5 Санитарно-техническое обслуживание</t>
  </si>
  <si>
    <t>Прочие</t>
  </si>
  <si>
    <t>3 Расходы по ОСП</t>
  </si>
  <si>
    <t>3.1 Временные здания и сооружения</t>
  </si>
  <si>
    <t>3.2 Подготовка строй площадки</t>
  </si>
  <si>
    <t>3.3 Подготовка к сдаче</t>
  </si>
  <si>
    <t>3.4 Расходы по охране объекта</t>
  </si>
  <si>
    <t>Прочее</t>
  </si>
  <si>
    <t>4 Прочие накладные расходы</t>
  </si>
  <si>
    <t xml:space="preserve"> Земельный налог </t>
  </si>
  <si>
    <t>Транспортный налог</t>
  </si>
  <si>
    <t>Всего:</t>
  </si>
  <si>
    <t>Разница</t>
  </si>
  <si>
    <t>Таблица 11. Смета накладных расходов</t>
  </si>
  <si>
    <t>Наименование работ по проекту и с учетом предполагаемых технологий</t>
  </si>
  <si>
    <t>Сметные затраты на ед.работ,руб.</t>
  </si>
  <si>
    <t>Затраты труда в чел/дн</t>
  </si>
  <si>
    <t>Планируемый объем работ</t>
  </si>
  <si>
    <t>Сметные затраты на планируемый объем работ</t>
  </si>
  <si>
    <t>Затраты труда на планируемый объем работ в чел/дн</t>
  </si>
  <si>
    <t>Затраты на материалы и конструкции</t>
  </si>
  <si>
    <t>Основная з/п рабочих</t>
  </si>
  <si>
    <t>Затраты на эксплуатацию машин</t>
  </si>
  <si>
    <t>НР</t>
  </si>
  <si>
    <t>Всего</t>
  </si>
  <si>
    <t>Работа предлагаемая к производству: устройство бетонных полов</t>
  </si>
  <si>
    <t>Экономия (-)</t>
  </si>
  <si>
    <t>Удорожание(+)</t>
  </si>
  <si>
    <t>Общая экономия</t>
  </si>
  <si>
    <t>Таблица 12. Планирование снижения себестоимости</t>
  </si>
  <si>
    <t xml:space="preserve">Работа, предусмотренная проектом: Устройство покрытий на цементном растворе из плиток: керамических для полов многоцветных (учебный пример) </t>
  </si>
  <si>
    <t>2.2 Страховые взносы 34% от общ з/п</t>
  </si>
  <si>
    <t>1.2 Страховые взносы 34% от общ з/п</t>
  </si>
  <si>
    <t>1.Затраты на материалы и конструкции</t>
  </si>
  <si>
    <t>2.Основная зарплата рабочих</t>
  </si>
  <si>
    <t xml:space="preserve">3.Затраты на эксплуатацию машин и механихмов </t>
  </si>
  <si>
    <t>4.Итого прямые затраты</t>
  </si>
  <si>
    <t>5.Накладные расходы</t>
  </si>
  <si>
    <t>6.Себестоимость строительных работ</t>
  </si>
  <si>
    <t>8.Стоимость строительных работ, выполняемых собственными силами</t>
  </si>
  <si>
    <t>Таблица 13. По статьям затрат на планируемый период</t>
  </si>
  <si>
    <t>Сметные затраты т.р</t>
  </si>
  <si>
    <t>Экономия(-), Удорожание(+) сметных затрат т.р</t>
  </si>
  <si>
    <t>Плановая себестоимость т.р</t>
  </si>
  <si>
    <t>&lt;=0,6*405025*(1-112/445,3)</t>
  </si>
  <si>
    <t>Показатели сметной себестоимости</t>
  </si>
  <si>
    <t>Сумма затрат и стоимость работ, выполняемых собственными силами</t>
  </si>
  <si>
    <t>Сметная себестоимость по элементам затрат</t>
  </si>
  <si>
    <t>Сумма затрат и стоимость общего объема работ</t>
  </si>
  <si>
    <t>1.Затраты на материалы и конструкции:</t>
  </si>
  <si>
    <t>1.Материальные затраты:</t>
  </si>
  <si>
    <t>Отпускная цена</t>
  </si>
  <si>
    <t>Услуги сторонних организаций</t>
  </si>
  <si>
    <t>Транспортные расходы</t>
  </si>
  <si>
    <t>Отпускная цена материалов и конструкций</t>
  </si>
  <si>
    <t>Заготовительно-складские расходы,в т.ч.</t>
  </si>
  <si>
    <t>Затраты на топливо,э/энергию</t>
  </si>
  <si>
    <t>а) зарплата работников</t>
  </si>
  <si>
    <t>Запасные части на текущий ремонт ОС</t>
  </si>
  <si>
    <t>б)эксплуатационные расходы(содержание базы)</t>
  </si>
  <si>
    <t>Затраты на материалы в составе накладных расходов</t>
  </si>
  <si>
    <t>в)коммунальные платежи</t>
  </si>
  <si>
    <t>г)амортизация ОС</t>
  </si>
  <si>
    <t>2.Затраты на оплату труда:</t>
  </si>
  <si>
    <t>Рабочих-сдельщиков</t>
  </si>
  <si>
    <t>Рабочих-повременщиков</t>
  </si>
  <si>
    <t>АУП</t>
  </si>
  <si>
    <t>3.Затраты на эксплуатацию машин и механизмов:</t>
  </si>
  <si>
    <t>3.Отчисления на социальные нужды (в составе НР)- страховые взносы</t>
  </si>
  <si>
    <t>Зарплата машинистов</t>
  </si>
  <si>
    <t>4.Амортизация ОС</t>
  </si>
  <si>
    <t>Топливо и электроэнергия</t>
  </si>
  <si>
    <t>Основного призводства</t>
  </si>
  <si>
    <t>Затраты на текущий ремонт</t>
  </si>
  <si>
    <t>Обслуживающего хозяйства</t>
  </si>
  <si>
    <t>Амортизация</t>
  </si>
  <si>
    <t>Офисных зданий и оборудования</t>
  </si>
  <si>
    <t>4.Накладные расходы</t>
  </si>
  <si>
    <t>5.прочие затраты:</t>
  </si>
  <si>
    <t>Налоги, относимые на себестоимость</t>
  </si>
  <si>
    <t>Налоги,относимые на себестоимость</t>
  </si>
  <si>
    <t>Основная и дополнительная зарплата АУП, доп.зарплата рабочих</t>
  </si>
  <si>
    <t>Командировочные расходы</t>
  </si>
  <si>
    <t>Отчисления на социальные нужды(Страховые взносы)</t>
  </si>
  <si>
    <t>Услуги связи</t>
  </si>
  <si>
    <t>Амортизация ОС</t>
  </si>
  <si>
    <t>Коммунальные платежи</t>
  </si>
  <si>
    <t>Материалы(Канцтовары,устройство временных сооружений)</t>
  </si>
  <si>
    <t>Эксплуатационные расходы</t>
  </si>
  <si>
    <t>Командировачные расходы</t>
  </si>
  <si>
    <t>Прочие расходы</t>
  </si>
  <si>
    <t>ИТОГО СЕБЕСТОИМОСТЬ</t>
  </si>
  <si>
    <t>СТОИМОСТЬ РАБОТ</t>
  </si>
  <si>
    <t>Таблица 14. Расчет сметной себестоимости по элементам затрат на общий объем работ планируемого периода (тыс.р.)</t>
  </si>
  <si>
    <t>Конструкции стальные</t>
  </si>
  <si>
    <t>Катанка горячекатаная в мотках диаметром 6,3-6,5 мм</t>
  </si>
  <si>
    <t>Пиломатериалы хвойных пород. Доски обрезные длиной 4-6,5 м, шириной 75-150 мм, толщиной 32-40 мм, III сорта</t>
  </si>
  <si>
    <t>Песок природный для строительных работ повышенной крупности и крупный</t>
  </si>
  <si>
    <t>Конструкции сборные железобетонные</t>
  </si>
  <si>
    <t>Кол-во м/ч на единицу работ</t>
  </si>
  <si>
    <t>Краны козловые при работе на монтаже технологического оборудования 32 т</t>
  </si>
  <si>
    <t>Машины шлифовальные электрические</t>
  </si>
  <si>
    <t>Ст-ть м/ч</t>
  </si>
  <si>
    <t>Ст-ть м/см</t>
  </si>
  <si>
    <t>в т.ч  З/п машинист</t>
  </si>
  <si>
    <t>Затраты на эксплуатацию машин и механизмов на годовой объем работ (руб)</t>
  </si>
  <si>
    <t>Затраты на машиносмену (руб)</t>
  </si>
  <si>
    <t>Затраты на м/ч (руб)</t>
  </si>
  <si>
    <t>Краны на гусеничном ходу при работе на других видах строительства (кроме магистральных трубопроводов) до 16 т</t>
  </si>
  <si>
    <t>Тягачи седельные 15 т</t>
  </si>
  <si>
    <t>Вибраторы поверхностные</t>
  </si>
  <si>
    <t>итого</t>
  </si>
  <si>
    <t>7.Убыток</t>
  </si>
  <si>
    <t>СМЕТНАЯ ПРИБЫЛЬ +/-</t>
  </si>
  <si>
    <t xml:space="preserve">              Показатели</t>
  </si>
  <si>
    <t xml:space="preserve"> Отчетная дата </t>
  </si>
  <si>
    <t>1 Выручка (нетто) от продажи продукции, работ, услуг</t>
  </si>
  <si>
    <t>2 Себестоимость продаж</t>
  </si>
  <si>
    <t>3 Валовая прибыль</t>
  </si>
  <si>
    <t>4 Коммерческие расходы</t>
  </si>
  <si>
    <t>5 Управленческие расходы</t>
  </si>
  <si>
    <t>6 Прибыль (убыток) от продаж</t>
  </si>
  <si>
    <t>7 Проценты к уплате</t>
  </si>
  <si>
    <t>8 Проценты к получению</t>
  </si>
  <si>
    <t>9 Прочие доходы</t>
  </si>
  <si>
    <t>10 Прочие расходы</t>
  </si>
  <si>
    <t>11 Прибыль (убыток) до налогооблажения</t>
  </si>
  <si>
    <t>13 Чистая прибыль (убыток) отчетного периода</t>
  </si>
  <si>
    <t>Таблица 15. Отчет о прибылях и убытках</t>
  </si>
  <si>
    <t>НР (удорож)</t>
  </si>
  <si>
    <t>Кол-во м/см на единицу работ</t>
  </si>
  <si>
    <t>Кол-во м/см на годовой объем работ</t>
  </si>
  <si>
    <t>отпускная</t>
  </si>
  <si>
    <t>12 Текущий налог на прибыль 20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</si>
</sst>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[$-F800]dddd\,\ mmmm\ dd\,\ yyyy"/>
    <numFmt numFmtId="165" formatCode="#,##0.00&quot;р.&quot;"/>
    <numFmt numFmtId="166" formatCode="#,##0.00_р_."/>
  </numFmts>
  <fonts count="3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276">
    <xf numFmtId="0" fontId="0" fillId="0" borderId="0" xfId="0"/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10" fontId="2" fillId="0" borderId="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NumberFormat="1"/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6" fontId="0" fillId="0" borderId="0" xfId="0" applyNumberFormat="1"/>
    <xf numFmtId="165" fontId="0" fillId="0" borderId="1" xfId="0" applyNumberFormat="1" applyBorder="1"/>
    <xf numFmtId="165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6" fontId="2" fillId="0" borderId="1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166" fontId="2" fillId="0" borderId="1" xfId="0" applyNumberFormat="1" applyFont="1" applyBorder="1" applyAlignment="1">
      <alignment horizontal="right" wrapText="1"/>
    </xf>
    <xf numFmtId="166" fontId="2" fillId="0" borderId="3" xfId="0" applyNumberFormat="1" applyFont="1" applyBorder="1" applyAlignment="1">
      <alignment horizontal="right" wrapText="1"/>
    </xf>
    <xf numFmtId="165" fontId="7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10" fontId="2" fillId="0" borderId="2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vertical="center"/>
    </xf>
    <xf numFmtId="165" fontId="8" fillId="0" borderId="2" xfId="0" applyNumberFormat="1" applyFont="1" applyBorder="1"/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NumberForma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16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3" xfId="0" applyFill="1" applyBorder="1" applyAlignment="1">
      <alignment horizont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16" fillId="0" borderId="14" xfId="0" applyFont="1" applyBorder="1" applyAlignment="1">
      <alignment horizontal="left" vertical="top" wrapText="1"/>
    </xf>
    <xf numFmtId="0" fontId="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3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19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0" xfId="0" applyAlignment="1"/>
    <xf numFmtId="0" fontId="20" fillId="0" borderId="1" xfId="0" applyFont="1" applyBorder="1" applyAlignment="1"/>
    <xf numFmtId="0" fontId="5" fillId="0" borderId="1" xfId="0" applyFont="1" applyBorder="1" applyAlignment="1">
      <alignment horizontal="left"/>
    </xf>
    <xf numFmtId="9" fontId="0" fillId="0" borderId="1" xfId="0" applyNumberFormat="1" applyBorder="1" applyAlignment="1"/>
    <xf numFmtId="0" fontId="20" fillId="0" borderId="0" xfId="0" applyFont="1" applyFill="1" applyBorder="1" applyAlignment="1"/>
    <xf numFmtId="0" fontId="0" fillId="0" borderId="1" xfId="0" applyBorder="1"/>
    <xf numFmtId="0" fontId="0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165" fontId="0" fillId="0" borderId="1" xfId="0" applyNumberFormat="1" applyBorder="1" applyAlignment="1"/>
    <xf numFmtId="165" fontId="4" fillId="0" borderId="1" xfId="0" applyNumberFormat="1" applyFont="1" applyBorder="1" applyAlignment="1">
      <alignment horizontal="right" vertical="top"/>
    </xf>
    <xf numFmtId="165" fontId="0" fillId="0" borderId="1" xfId="0" applyNumberFormat="1" applyFont="1" applyBorder="1" applyAlignment="1"/>
    <xf numFmtId="10" fontId="0" fillId="0" borderId="1" xfId="0" applyNumberFormat="1" applyFont="1" applyBorder="1" applyAlignment="1"/>
    <xf numFmtId="0" fontId="0" fillId="0" borderId="0" xfId="0" applyFont="1" applyAlignment="1"/>
    <xf numFmtId="0" fontId="0" fillId="0" borderId="1" xfId="0" applyNumberFormat="1" applyFont="1" applyBorder="1" applyAlignment="1">
      <alignment vertical="center" wrapText="1"/>
    </xf>
    <xf numFmtId="1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6" fillId="0" borderId="0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wrapText="1"/>
    </xf>
    <xf numFmtId="0" fontId="17" fillId="0" borderId="1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right" vertical="top"/>
    </xf>
    <xf numFmtId="0" fontId="0" fillId="0" borderId="13" xfId="0" applyBorder="1" applyAlignment="1">
      <alignment wrapText="1"/>
    </xf>
    <xf numFmtId="0" fontId="19" fillId="0" borderId="12" xfId="0" applyFont="1" applyFill="1" applyBorder="1" applyAlignment="1">
      <alignment horizontal="right" vertical="top"/>
    </xf>
    <xf numFmtId="0" fontId="17" fillId="0" borderId="1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right" vertical="top"/>
    </xf>
    <xf numFmtId="0" fontId="22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2" fontId="0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6" fillId="0" borderId="17" xfId="0" applyFont="1" applyBorder="1" applyAlignment="1">
      <alignment vertical="top" wrapText="1"/>
    </xf>
    <xf numFmtId="0" fontId="26" fillId="0" borderId="18" xfId="0" applyFont="1" applyBorder="1" applyAlignment="1">
      <alignment horizontal="justify" vertical="top" wrapText="1"/>
    </xf>
    <xf numFmtId="0" fontId="26" fillId="0" borderId="19" xfId="0" applyFont="1" applyBorder="1" applyAlignment="1">
      <alignment vertical="top" wrapText="1"/>
    </xf>
    <xf numFmtId="0" fontId="26" fillId="0" borderId="20" xfId="0" applyFont="1" applyBorder="1" applyAlignment="1">
      <alignment horizontal="right" vertical="top" wrapText="1"/>
    </xf>
    <xf numFmtId="1" fontId="0" fillId="0" borderId="0" xfId="0" applyNumberFormat="1"/>
    <xf numFmtId="0" fontId="7" fillId="0" borderId="0" xfId="0" applyFont="1" applyBorder="1" applyAlignment="1">
      <alignment wrapText="1"/>
    </xf>
    <xf numFmtId="0" fontId="0" fillId="0" borderId="1" xfId="0" applyFont="1" applyBorder="1"/>
    <xf numFmtId="0" fontId="23" fillId="0" borderId="0" xfId="0" applyFont="1" applyBorder="1"/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16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wrapText="1"/>
    </xf>
    <xf numFmtId="0" fontId="13" fillId="0" borderId="0" xfId="0" applyFont="1" applyBorder="1" applyAlignment="1">
      <alignment horizontal="right" vertical="top"/>
    </xf>
    <xf numFmtId="0" fontId="0" fillId="0" borderId="1" xfId="0" applyFont="1" applyBorder="1" applyAlignment="1"/>
    <xf numFmtId="0" fontId="26" fillId="0" borderId="21" xfId="0" applyFont="1" applyBorder="1" applyAlignment="1">
      <alignment horizontal="center" wrapText="1"/>
    </xf>
    <xf numFmtId="165" fontId="0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" fontId="0" fillId="0" borderId="1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/>
    </xf>
    <xf numFmtId="2" fontId="2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6" xfId="0" applyBorder="1" applyAlignment="1"/>
    <xf numFmtId="0" fontId="0" fillId="0" borderId="0" xfId="0" applyAlignment="1">
      <alignment horizontal="left" vertical="top" wrapText="1"/>
    </xf>
    <xf numFmtId="0" fontId="0" fillId="0" borderId="0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9" fontId="0" fillId="0" borderId="0" xfId="0" applyNumberFormat="1"/>
    <xf numFmtId="2" fontId="26" fillId="0" borderId="2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C8" sqref="C8"/>
    </sheetView>
  </sheetViews>
  <sheetFormatPr defaultRowHeight="15"/>
  <cols>
    <col min="1" max="1" width="17.85546875" customWidth="1"/>
    <col min="2" max="2" width="15.140625" customWidth="1"/>
    <col min="3" max="4" width="16.28515625" customWidth="1"/>
  </cols>
  <sheetData>
    <row r="1" spans="1:4" ht="15.75">
      <c r="A1" s="226" t="s">
        <v>61</v>
      </c>
      <c r="B1" s="226"/>
      <c r="C1" s="226"/>
      <c r="D1" s="226"/>
    </row>
    <row r="2" spans="1:4" ht="15.75" thickBot="1"/>
    <row r="3" spans="1:4">
      <c r="A3" s="227" t="s">
        <v>0</v>
      </c>
      <c r="B3" s="229" t="s">
        <v>1</v>
      </c>
      <c r="C3" s="229" t="s">
        <v>2</v>
      </c>
      <c r="D3" s="231"/>
    </row>
    <row r="4" spans="1:4" ht="28.5">
      <c r="A4" s="228"/>
      <c r="B4" s="230"/>
      <c r="C4" s="3" t="s">
        <v>3</v>
      </c>
      <c r="D4" s="4" t="s">
        <v>4</v>
      </c>
    </row>
    <row r="5" spans="1:4" ht="45.75" thickBot="1">
      <c r="A5" s="12" t="s">
        <v>13</v>
      </c>
      <c r="B5" s="5" t="s">
        <v>5</v>
      </c>
      <c r="C5" s="6">
        <v>40455</v>
      </c>
      <c r="D5" s="7">
        <v>40865</v>
      </c>
    </row>
  </sheetData>
  <mergeCells count="4">
    <mergeCell ref="A1:D1"/>
    <mergeCell ref="A3:A4"/>
    <mergeCell ref="B3:B4"/>
    <mergeCell ref="C3:D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72"/>
  <sheetViews>
    <sheetView topLeftCell="A61" workbookViewId="0">
      <selection activeCell="G71" sqref="G71"/>
    </sheetView>
  </sheetViews>
  <sheetFormatPr defaultRowHeight="15"/>
  <cols>
    <col min="1" max="1" width="3.7109375" style="83" customWidth="1"/>
    <col min="2" max="2" width="22.28515625" style="56" customWidth="1"/>
    <col min="3" max="3" width="5.28515625" style="153" customWidth="1"/>
    <col min="4" max="4" width="13.42578125" style="153" customWidth="1"/>
    <col min="5" max="5" width="9.5703125" style="153" customWidth="1"/>
    <col min="6" max="6" width="9.140625" style="153" customWidth="1"/>
    <col min="7" max="8" width="7" style="153" customWidth="1"/>
    <col min="9" max="10" width="8.85546875" style="153" customWidth="1"/>
    <col min="11" max="11" width="12" style="153" customWidth="1"/>
    <col min="12" max="12" width="9.7109375" style="153" customWidth="1"/>
    <col min="13" max="13" width="14" style="153" customWidth="1"/>
    <col min="14" max="14" width="12.28515625" customWidth="1"/>
    <col min="15" max="15" width="9.140625" customWidth="1"/>
  </cols>
  <sheetData>
    <row r="1" spans="1:18" s="1" customFormat="1">
      <c r="A1" s="148"/>
      <c r="B1" s="149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8" ht="15.75">
      <c r="A2" s="263" t="s">
        <v>186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</row>
    <row r="3" spans="1:18" ht="105">
      <c r="A3" s="263" t="s">
        <v>51</v>
      </c>
      <c r="B3" s="264" t="s">
        <v>157</v>
      </c>
      <c r="C3" s="242" t="s">
        <v>158</v>
      </c>
      <c r="D3" s="242" t="s">
        <v>159</v>
      </c>
      <c r="E3" s="242" t="s">
        <v>160</v>
      </c>
      <c r="F3" s="242" t="s">
        <v>161</v>
      </c>
      <c r="G3" s="242" t="s">
        <v>162</v>
      </c>
      <c r="H3" s="242"/>
      <c r="I3" s="242" t="s">
        <v>163</v>
      </c>
      <c r="J3" s="242"/>
      <c r="K3" s="138" t="s">
        <v>164</v>
      </c>
      <c r="L3" s="138" t="s">
        <v>165</v>
      </c>
      <c r="M3" s="138" t="s">
        <v>166</v>
      </c>
      <c r="O3" s="10"/>
      <c r="P3" s="10"/>
      <c r="Q3" s="10"/>
      <c r="R3" s="10"/>
    </row>
    <row r="4" spans="1:18" s="83" customFormat="1" ht="30">
      <c r="A4" s="263"/>
      <c r="B4" s="264"/>
      <c r="C4" s="242"/>
      <c r="D4" s="242"/>
      <c r="E4" s="242"/>
      <c r="F4" s="242"/>
      <c r="G4" s="138" t="s">
        <v>167</v>
      </c>
      <c r="H4" s="138" t="s">
        <v>168</v>
      </c>
      <c r="I4" s="138" t="s">
        <v>167</v>
      </c>
      <c r="J4" s="138" t="s">
        <v>168</v>
      </c>
      <c r="K4" s="138"/>
      <c r="L4" s="138"/>
      <c r="M4" s="138"/>
      <c r="O4" s="139"/>
      <c r="P4" s="139"/>
      <c r="Q4" s="139"/>
      <c r="R4" s="139"/>
    </row>
    <row r="5" spans="1:18" s="83" customFormat="1" ht="15.75">
      <c r="A5" s="263"/>
      <c r="B5" s="92">
        <v>1</v>
      </c>
      <c r="C5" s="138">
        <v>2</v>
      </c>
      <c r="D5" s="138">
        <v>3</v>
      </c>
      <c r="E5" s="138">
        <v>4</v>
      </c>
      <c r="F5" s="138">
        <v>5</v>
      </c>
      <c r="G5" s="138">
        <v>6</v>
      </c>
      <c r="H5" s="138">
        <v>7</v>
      </c>
      <c r="I5" s="138">
        <v>8</v>
      </c>
      <c r="J5" s="138">
        <v>9</v>
      </c>
      <c r="K5" s="138">
        <v>10</v>
      </c>
      <c r="L5" s="138">
        <v>11</v>
      </c>
      <c r="M5" s="138">
        <v>12</v>
      </c>
      <c r="O5" s="139"/>
      <c r="P5" s="139"/>
      <c r="Q5" s="139"/>
      <c r="R5" s="139"/>
    </row>
    <row r="6" spans="1:18" ht="27.75" customHeight="1">
      <c r="A6" s="95">
        <v>1</v>
      </c>
      <c r="B6" s="257" t="s">
        <v>26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9"/>
      <c r="O6" s="10"/>
      <c r="P6" s="10"/>
      <c r="Q6" s="10"/>
      <c r="R6" s="10"/>
    </row>
    <row r="7" spans="1:18" ht="22.5">
      <c r="A7" s="96">
        <v>2</v>
      </c>
      <c r="B7" s="93" t="s">
        <v>188</v>
      </c>
      <c r="C7" s="57" t="s">
        <v>171</v>
      </c>
      <c r="D7" s="152">
        <v>0.6</v>
      </c>
      <c r="E7" s="138">
        <f t="shared" ref="E7:E14" si="0">61.74*D7</f>
        <v>37.043999999999997</v>
      </c>
      <c r="F7" s="138">
        <f t="shared" ref="F7:F15" si="1">E7/40</f>
        <v>0.92609999999999992</v>
      </c>
      <c r="G7" s="138">
        <v>3</v>
      </c>
      <c r="H7" s="138">
        <f t="shared" ref="H7:H14" si="2">F7*G7</f>
        <v>2.7782999999999998</v>
      </c>
      <c r="I7" s="138" t="s">
        <v>12</v>
      </c>
      <c r="J7" s="138" t="s">
        <v>12</v>
      </c>
      <c r="K7" s="138">
        <f t="shared" ref="K7:K15" si="3">E7-H7</f>
        <v>34.265699999999995</v>
      </c>
      <c r="L7" s="152">
        <v>156.61000000000001</v>
      </c>
      <c r="M7" s="154">
        <f t="shared" ref="M7:M15" si="4">K7*L7</f>
        <v>5366.3512769999998</v>
      </c>
      <c r="O7" s="112"/>
      <c r="P7" s="10"/>
      <c r="Q7" s="10"/>
      <c r="R7" s="10"/>
    </row>
    <row r="8" spans="1:18" ht="22.5">
      <c r="A8" s="96">
        <v>4</v>
      </c>
      <c r="B8" s="93" t="s">
        <v>189</v>
      </c>
      <c r="C8" s="57" t="s">
        <v>169</v>
      </c>
      <c r="D8" s="152">
        <v>2E-3</v>
      </c>
      <c r="E8" s="138">
        <f t="shared" si="0"/>
        <v>0.12348000000000001</v>
      </c>
      <c r="F8" s="138">
        <f t="shared" si="1"/>
        <v>3.0870000000000003E-3</v>
      </c>
      <c r="G8" s="138">
        <v>3</v>
      </c>
      <c r="H8" s="138">
        <f t="shared" si="2"/>
        <v>9.2610000000000019E-3</v>
      </c>
      <c r="I8" s="138" t="s">
        <v>12</v>
      </c>
      <c r="J8" s="138" t="s">
        <v>12</v>
      </c>
      <c r="K8" s="138">
        <f t="shared" si="3"/>
        <v>0.114219</v>
      </c>
      <c r="L8" s="152">
        <v>19237.34</v>
      </c>
      <c r="M8" s="154">
        <f t="shared" si="4"/>
        <v>2197.2697374600002</v>
      </c>
      <c r="O8" s="112"/>
      <c r="Q8" s="10"/>
      <c r="R8" s="10"/>
    </row>
    <row r="9" spans="1:18" ht="22.5">
      <c r="A9" s="96">
        <v>5</v>
      </c>
      <c r="B9" s="93" t="s">
        <v>190</v>
      </c>
      <c r="C9" s="57" t="s">
        <v>169</v>
      </c>
      <c r="D9" s="152">
        <v>1.4E-3</v>
      </c>
      <c r="E9" s="138">
        <f t="shared" si="0"/>
        <v>8.6435999999999999E-2</v>
      </c>
      <c r="F9" s="138">
        <f t="shared" si="1"/>
        <v>2.1608999999999999E-3</v>
      </c>
      <c r="G9" s="138">
        <v>3</v>
      </c>
      <c r="H9" s="138">
        <f t="shared" si="2"/>
        <v>6.4826999999999992E-3</v>
      </c>
      <c r="I9" s="138" t="s">
        <v>12</v>
      </c>
      <c r="J9" s="138" t="s">
        <v>12</v>
      </c>
      <c r="K9" s="138">
        <f t="shared" si="3"/>
        <v>7.9953300000000005E-2</v>
      </c>
      <c r="L9" s="152">
        <v>40420</v>
      </c>
      <c r="M9" s="154">
        <f t="shared" si="4"/>
        <v>3231.7123860000002</v>
      </c>
      <c r="O9" s="112"/>
      <c r="Q9" s="10"/>
      <c r="R9" s="10"/>
    </row>
    <row r="10" spans="1:18" ht="22.5">
      <c r="A10" s="96">
        <v>6</v>
      </c>
      <c r="B10" s="93" t="s">
        <v>175</v>
      </c>
      <c r="C10" s="57" t="s">
        <v>169</v>
      </c>
      <c r="D10" s="152">
        <v>2.0000000000000001E-4</v>
      </c>
      <c r="E10" s="138">
        <f t="shared" si="0"/>
        <v>1.2348000000000001E-2</v>
      </c>
      <c r="F10" s="138">
        <f t="shared" si="1"/>
        <v>3.0870000000000002E-4</v>
      </c>
      <c r="G10" s="138">
        <v>3</v>
      </c>
      <c r="H10" s="138">
        <f t="shared" si="2"/>
        <v>9.2610000000000001E-4</v>
      </c>
      <c r="I10" s="138" t="s">
        <v>12</v>
      </c>
      <c r="J10" s="138" t="s">
        <v>12</v>
      </c>
      <c r="K10" s="138">
        <f t="shared" si="3"/>
        <v>1.1421900000000002E-2</v>
      </c>
      <c r="L10" s="152">
        <v>37613.14</v>
      </c>
      <c r="M10" s="154">
        <f t="shared" si="4"/>
        <v>429.61352376600007</v>
      </c>
      <c r="O10" s="112"/>
      <c r="Q10" s="10"/>
      <c r="R10" s="10"/>
    </row>
    <row r="11" spans="1:18">
      <c r="A11" s="96">
        <v>7</v>
      </c>
      <c r="B11" s="93" t="s">
        <v>170</v>
      </c>
      <c r="C11" s="57" t="s">
        <v>169</v>
      </c>
      <c r="D11" s="152">
        <v>1E-4</v>
      </c>
      <c r="E11" s="138">
        <f t="shared" si="0"/>
        <v>6.1740000000000007E-3</v>
      </c>
      <c r="F11" s="138">
        <f t="shared" si="1"/>
        <v>1.5435000000000001E-4</v>
      </c>
      <c r="G11" s="138">
        <v>3</v>
      </c>
      <c r="H11" s="138">
        <f t="shared" si="2"/>
        <v>4.6305000000000001E-4</v>
      </c>
      <c r="I11" s="138" t="s">
        <v>12</v>
      </c>
      <c r="J11" s="138" t="s">
        <v>12</v>
      </c>
      <c r="K11" s="138">
        <f t="shared" si="3"/>
        <v>5.7109500000000011E-3</v>
      </c>
      <c r="L11" s="152">
        <v>42370</v>
      </c>
      <c r="M11" s="154">
        <f t="shared" si="4"/>
        <v>241.97295150000005</v>
      </c>
      <c r="O11" s="112"/>
      <c r="Q11" s="10"/>
      <c r="R11" s="10"/>
    </row>
    <row r="12" spans="1:18" ht="22.5">
      <c r="A12" s="96">
        <v>8</v>
      </c>
      <c r="B12" s="93" t="s">
        <v>191</v>
      </c>
      <c r="C12" s="57" t="s">
        <v>173</v>
      </c>
      <c r="D12" s="152">
        <v>0.03</v>
      </c>
      <c r="E12" s="138">
        <f>61.74*D12</f>
        <v>1.8522000000000001</v>
      </c>
      <c r="F12" s="138">
        <f t="shared" si="1"/>
        <v>4.6304999999999999E-2</v>
      </c>
      <c r="G12" s="138">
        <v>3</v>
      </c>
      <c r="H12" s="138">
        <f>F12*G12</f>
        <v>0.13891500000000001</v>
      </c>
      <c r="I12" s="138" t="s">
        <v>12</v>
      </c>
      <c r="J12" s="138" t="s">
        <v>12</v>
      </c>
      <c r="K12" s="138">
        <f t="shared" si="3"/>
        <v>1.7132849999999999</v>
      </c>
      <c r="L12" s="152">
        <v>20.78</v>
      </c>
      <c r="M12" s="154">
        <f t="shared" si="4"/>
        <v>35.6020623</v>
      </c>
      <c r="O12" s="112"/>
      <c r="Q12" s="10"/>
      <c r="R12" s="10"/>
    </row>
    <row r="13" spans="1:18" ht="56.25">
      <c r="A13" s="96">
        <v>9</v>
      </c>
      <c r="B13" s="93" t="s">
        <v>192</v>
      </c>
      <c r="C13" s="57" t="s">
        <v>171</v>
      </c>
      <c r="D13" s="152">
        <v>1.1000000000000001E-3</v>
      </c>
      <c r="E13" s="138">
        <f t="shared" si="0"/>
        <v>6.7914000000000002E-2</v>
      </c>
      <c r="F13" s="138">
        <f t="shared" si="1"/>
        <v>1.6978500000000001E-3</v>
      </c>
      <c r="G13" s="138">
        <v>3</v>
      </c>
      <c r="H13" s="138">
        <f t="shared" si="2"/>
        <v>5.0935500000000005E-3</v>
      </c>
      <c r="I13" s="138" t="s">
        <v>12</v>
      </c>
      <c r="J13" s="138" t="s">
        <v>12</v>
      </c>
      <c r="K13" s="138">
        <f t="shared" si="3"/>
        <v>6.282045E-2</v>
      </c>
      <c r="L13" s="152">
        <v>2400</v>
      </c>
      <c r="M13" s="154">
        <f t="shared" si="4"/>
        <v>150.76908</v>
      </c>
      <c r="O13" s="112"/>
      <c r="P13" s="161"/>
      <c r="Q13" s="10"/>
      <c r="R13" s="10"/>
    </row>
    <row r="14" spans="1:18" s="1" customFormat="1" ht="22.5">
      <c r="A14" s="96">
        <v>10</v>
      </c>
      <c r="B14" s="93" t="s">
        <v>193</v>
      </c>
      <c r="C14" s="57" t="s">
        <v>169</v>
      </c>
      <c r="D14" s="152">
        <v>2.9999999999999997E-4</v>
      </c>
      <c r="E14" s="138">
        <f t="shared" si="0"/>
        <v>1.8522E-2</v>
      </c>
      <c r="F14" s="138">
        <f t="shared" si="1"/>
        <v>4.6305000000000001E-4</v>
      </c>
      <c r="G14" s="138">
        <v>3</v>
      </c>
      <c r="H14" s="138">
        <f t="shared" si="2"/>
        <v>1.38915E-3</v>
      </c>
      <c r="I14" s="138" t="s">
        <v>12</v>
      </c>
      <c r="J14" s="138" t="s">
        <v>12</v>
      </c>
      <c r="K14" s="138">
        <f t="shared" si="3"/>
        <v>1.7132850000000002E-2</v>
      </c>
      <c r="L14" s="152">
        <v>88157.16</v>
      </c>
      <c r="M14" s="154">
        <f t="shared" si="4"/>
        <v>1510.3833987060002</v>
      </c>
      <c r="O14" s="112"/>
      <c r="P14" s="112"/>
      <c r="Q14" s="112"/>
      <c r="R14" s="10"/>
    </row>
    <row r="15" spans="1:18" s="1" customFormat="1">
      <c r="A15" s="96">
        <v>11</v>
      </c>
      <c r="B15" s="93" t="s">
        <v>194</v>
      </c>
      <c r="C15" s="57" t="s">
        <v>169</v>
      </c>
      <c r="D15" s="152">
        <v>8.0000000000000004E-4</v>
      </c>
      <c r="E15" s="138">
        <f>61.74*D15</f>
        <v>4.9392000000000005E-2</v>
      </c>
      <c r="F15" s="138">
        <f t="shared" si="1"/>
        <v>1.2348000000000001E-3</v>
      </c>
      <c r="G15" s="138">
        <v>3</v>
      </c>
      <c r="H15" s="138">
        <f>F15*G15</f>
        <v>3.7044000000000001E-3</v>
      </c>
      <c r="I15" s="138" t="s">
        <v>12</v>
      </c>
      <c r="J15" s="138" t="s">
        <v>12</v>
      </c>
      <c r="K15" s="138">
        <f t="shared" si="3"/>
        <v>4.5687600000000009E-2</v>
      </c>
      <c r="L15" s="152">
        <v>52996.14</v>
      </c>
      <c r="M15" s="154">
        <f t="shared" si="4"/>
        <v>2421.2664458640006</v>
      </c>
      <c r="O15" s="112"/>
      <c r="P15" s="10"/>
      <c r="Q15" s="10"/>
      <c r="R15" s="10"/>
    </row>
    <row r="16" spans="1:18" s="1" customFormat="1" ht="67.5">
      <c r="A16" s="96">
        <v>12</v>
      </c>
      <c r="B16" s="93" t="s">
        <v>195</v>
      </c>
      <c r="C16" s="57" t="s">
        <v>169</v>
      </c>
      <c r="D16" s="152">
        <v>1E-4</v>
      </c>
      <c r="E16" s="138">
        <f t="shared" ref="E16" si="5">61.74*D16</f>
        <v>6.1740000000000007E-3</v>
      </c>
      <c r="F16" s="138">
        <f t="shared" ref="F16:F17" si="6">E16/40</f>
        <v>1.5435000000000001E-4</v>
      </c>
      <c r="G16" s="138">
        <v>3</v>
      </c>
      <c r="H16" s="138">
        <f t="shared" ref="H16" si="7">F16*G16</f>
        <v>4.6305000000000001E-4</v>
      </c>
      <c r="I16" s="138" t="s">
        <v>12</v>
      </c>
      <c r="J16" s="138" t="s">
        <v>12</v>
      </c>
      <c r="K16" s="138">
        <f t="shared" ref="K16:K17" si="8">E16-H16</f>
        <v>5.7109500000000011E-3</v>
      </c>
      <c r="L16" s="152">
        <v>30208.75</v>
      </c>
      <c r="M16" s="154">
        <f t="shared" ref="M16:M17" si="9">K16*L16</f>
        <v>172.52066081250004</v>
      </c>
      <c r="O16" s="112"/>
      <c r="P16" s="10"/>
      <c r="Q16" s="10"/>
      <c r="R16" s="10"/>
    </row>
    <row r="17" spans="1:18" s="1" customFormat="1">
      <c r="A17" s="96">
        <v>13</v>
      </c>
      <c r="B17" s="93" t="s">
        <v>343</v>
      </c>
      <c r="C17" s="57" t="s">
        <v>169</v>
      </c>
      <c r="D17" s="152">
        <v>5</v>
      </c>
      <c r="E17" s="138">
        <f>61.74*D17</f>
        <v>308.7</v>
      </c>
      <c r="F17" s="138">
        <f t="shared" si="6"/>
        <v>7.7174999999999994</v>
      </c>
      <c r="G17" s="138">
        <v>3</v>
      </c>
      <c r="H17" s="138">
        <f>F17*G17</f>
        <v>23.152499999999996</v>
      </c>
      <c r="I17" s="138" t="s">
        <v>12</v>
      </c>
      <c r="J17" s="138" t="s">
        <v>12</v>
      </c>
      <c r="K17" s="138">
        <f t="shared" si="8"/>
        <v>285.54750000000001</v>
      </c>
      <c r="L17" s="152">
        <v>32120</v>
      </c>
      <c r="M17" s="154">
        <f t="shared" si="9"/>
        <v>9171785.7000000011</v>
      </c>
      <c r="O17" s="112"/>
      <c r="P17" s="10"/>
      <c r="Q17" s="10"/>
      <c r="R17" s="10"/>
    </row>
    <row r="18" spans="1:18" s="1" customFormat="1" ht="56.25">
      <c r="A18" s="96">
        <v>14</v>
      </c>
      <c r="B18" s="93" t="s">
        <v>196</v>
      </c>
      <c r="C18" s="57" t="s">
        <v>198</v>
      </c>
      <c r="D18" s="152">
        <v>1.8200000000000001E-2</v>
      </c>
      <c r="E18" s="138">
        <f>61.74*D18</f>
        <v>1.1236680000000001</v>
      </c>
      <c r="F18" s="138">
        <f t="shared" ref="F18:F19" si="10">E18/40</f>
        <v>2.8091700000000004E-2</v>
      </c>
      <c r="G18" s="138">
        <v>3</v>
      </c>
      <c r="H18" s="138">
        <f t="shared" ref="H18:H19" si="11">F18*G18</f>
        <v>8.4275100000000019E-2</v>
      </c>
      <c r="I18" s="138" t="s">
        <v>12</v>
      </c>
      <c r="J18" s="138" t="s">
        <v>12</v>
      </c>
      <c r="K18" s="138">
        <f t="shared" ref="K18:K19" si="12">E18-H18</f>
        <v>1.0393929000000002</v>
      </c>
      <c r="L18" s="152">
        <v>162.94999999999999</v>
      </c>
      <c r="M18" s="154">
        <f t="shared" ref="M18:M19" si="13">K18*L18</f>
        <v>169.36907305500003</v>
      </c>
      <c r="O18" s="112"/>
      <c r="P18" s="10"/>
      <c r="Q18" s="10"/>
      <c r="R18" s="10"/>
    </row>
    <row r="19" spans="1:18" s="1" customFormat="1" ht="22.5">
      <c r="A19" s="96">
        <v>15</v>
      </c>
      <c r="B19" s="93" t="s">
        <v>197</v>
      </c>
      <c r="C19" s="57" t="s">
        <v>199</v>
      </c>
      <c r="D19" s="152">
        <v>0.24</v>
      </c>
      <c r="E19" s="138">
        <f>61.74*D19</f>
        <v>14.817600000000001</v>
      </c>
      <c r="F19" s="138">
        <f t="shared" si="10"/>
        <v>0.37043999999999999</v>
      </c>
      <c r="G19" s="138">
        <v>3</v>
      </c>
      <c r="H19" s="138">
        <f t="shared" si="11"/>
        <v>1.1113200000000001</v>
      </c>
      <c r="I19" s="138" t="s">
        <v>12</v>
      </c>
      <c r="J19" s="138" t="s">
        <v>12</v>
      </c>
      <c r="K19" s="138">
        <f t="shared" si="12"/>
        <v>13.70628</v>
      </c>
      <c r="L19" s="152">
        <v>76.42</v>
      </c>
      <c r="M19" s="154">
        <f t="shared" si="13"/>
        <v>1047.4339176000001</v>
      </c>
      <c r="O19" s="112"/>
      <c r="P19" s="10"/>
      <c r="Q19" s="10"/>
      <c r="R19" s="10"/>
    </row>
    <row r="20" spans="1:18" s="1" customFormat="1">
      <c r="A20" s="96"/>
      <c r="B20" s="102"/>
      <c r="C20" s="159"/>
      <c r="D20" s="160"/>
      <c r="E20" s="103"/>
      <c r="F20" s="103"/>
      <c r="G20" s="103"/>
      <c r="H20" s="103"/>
      <c r="I20" s="103"/>
      <c r="J20" s="103"/>
      <c r="K20" s="103"/>
      <c r="L20" s="160"/>
      <c r="M20" s="162"/>
      <c r="N20" s="157">
        <f>SUM(M7:M19)</f>
        <v>9188759.9645140655</v>
      </c>
      <c r="O20" s="112"/>
      <c r="P20" s="10"/>
      <c r="Q20" s="10"/>
      <c r="R20" s="10"/>
    </row>
    <row r="21" spans="1:18" ht="28.5" customHeight="1">
      <c r="A21" s="95">
        <v>2</v>
      </c>
      <c r="B21" s="260" t="s">
        <v>27</v>
      </c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2"/>
      <c r="O21" s="10"/>
      <c r="P21" s="10"/>
      <c r="Q21" s="10"/>
      <c r="R21" s="10"/>
    </row>
    <row r="22" spans="1:18" ht="22.5">
      <c r="A22" s="96">
        <v>1</v>
      </c>
      <c r="B22" s="93" t="s">
        <v>187</v>
      </c>
      <c r="C22" s="57" t="s">
        <v>169</v>
      </c>
      <c r="D22" s="152">
        <v>2.9999999999999997E-4</v>
      </c>
      <c r="E22" s="138">
        <f>155.11*D22</f>
        <v>4.6532999999999998E-2</v>
      </c>
      <c r="F22" s="138">
        <f>E22/80</f>
        <v>5.816625E-4</v>
      </c>
      <c r="G22" s="138" t="s">
        <v>12</v>
      </c>
      <c r="H22" s="138" t="s">
        <v>12</v>
      </c>
      <c r="I22" s="138" t="s">
        <v>12</v>
      </c>
      <c r="J22" s="138" t="s">
        <v>12</v>
      </c>
      <c r="K22" s="138">
        <f>E22</f>
        <v>4.6532999999999998E-2</v>
      </c>
      <c r="L22" s="152">
        <v>103437.9</v>
      </c>
      <c r="M22" s="154">
        <f t="shared" ref="M22:M47" si="14">K22*L22</f>
        <v>4813.2758006999993</v>
      </c>
      <c r="O22" s="112"/>
      <c r="P22" s="10"/>
      <c r="Q22" s="10"/>
      <c r="R22" s="10"/>
    </row>
    <row r="23" spans="1:18" ht="22.5">
      <c r="A23" s="96">
        <v>2</v>
      </c>
      <c r="B23" s="93" t="s">
        <v>188</v>
      </c>
      <c r="C23" s="57" t="s">
        <v>171</v>
      </c>
      <c r="D23" s="152">
        <v>0.7</v>
      </c>
      <c r="E23" s="138">
        <f t="shared" ref="E23:E30" si="15">155.11*D23</f>
        <v>108.577</v>
      </c>
      <c r="F23" s="138">
        <f t="shared" ref="F23:F30" si="16">E23/80</f>
        <v>1.3572124999999999</v>
      </c>
      <c r="G23" s="138" t="s">
        <v>12</v>
      </c>
      <c r="H23" s="138" t="s">
        <v>12</v>
      </c>
      <c r="I23" s="138" t="s">
        <v>12</v>
      </c>
      <c r="J23" s="138" t="s">
        <v>12</v>
      </c>
      <c r="K23" s="138">
        <f t="shared" ref="K23:K67" si="17">E23</f>
        <v>108.577</v>
      </c>
      <c r="L23" s="152">
        <v>156.61000000000001</v>
      </c>
      <c r="M23" s="154">
        <f t="shared" si="14"/>
        <v>17004.24397</v>
      </c>
      <c r="O23" s="112"/>
      <c r="P23" s="113"/>
      <c r="Q23" s="150"/>
      <c r="R23" s="114"/>
    </row>
    <row r="24" spans="1:18" ht="22.5">
      <c r="A24" s="96">
        <v>3</v>
      </c>
      <c r="B24" s="93" t="s">
        <v>189</v>
      </c>
      <c r="C24" s="57" t="s">
        <v>169</v>
      </c>
      <c r="D24" s="152">
        <v>2E-3</v>
      </c>
      <c r="E24" s="138">
        <f t="shared" si="15"/>
        <v>0.31022000000000005</v>
      </c>
      <c r="F24" s="138">
        <f t="shared" si="16"/>
        <v>3.8777500000000006E-3</v>
      </c>
      <c r="G24" s="138" t="s">
        <v>12</v>
      </c>
      <c r="H24" s="138" t="s">
        <v>12</v>
      </c>
      <c r="I24" s="138" t="s">
        <v>12</v>
      </c>
      <c r="J24" s="138" t="s">
        <v>12</v>
      </c>
      <c r="K24" s="138">
        <f t="shared" si="17"/>
        <v>0.31022000000000005</v>
      </c>
      <c r="L24" s="152">
        <v>19237.34</v>
      </c>
      <c r="M24" s="154">
        <f t="shared" si="14"/>
        <v>5967.8076148000009</v>
      </c>
      <c r="O24" s="112"/>
      <c r="P24" s="113"/>
      <c r="Q24" s="150"/>
      <c r="R24" s="114"/>
    </row>
    <row r="25" spans="1:18" ht="22.5">
      <c r="A25" s="96">
        <v>4</v>
      </c>
      <c r="B25" s="93" t="s">
        <v>190</v>
      </c>
      <c r="C25" s="57" t="s">
        <v>169</v>
      </c>
      <c r="D25" s="152">
        <v>2.8999999999999998E-3</v>
      </c>
      <c r="E25" s="138">
        <f t="shared" si="15"/>
        <v>0.44981900000000002</v>
      </c>
      <c r="F25" s="138">
        <f t="shared" si="16"/>
        <v>5.6227375000000007E-3</v>
      </c>
      <c r="G25" s="138" t="s">
        <v>12</v>
      </c>
      <c r="H25" s="138" t="s">
        <v>12</v>
      </c>
      <c r="I25" s="138" t="s">
        <v>12</v>
      </c>
      <c r="J25" s="138" t="s">
        <v>12</v>
      </c>
      <c r="K25" s="138">
        <f t="shared" si="17"/>
        <v>0.44981900000000002</v>
      </c>
      <c r="L25" s="152">
        <v>40420</v>
      </c>
      <c r="M25" s="154">
        <f t="shared" si="14"/>
        <v>18181.683980000002</v>
      </c>
      <c r="O25" s="112"/>
      <c r="P25" s="113"/>
      <c r="Q25" s="150"/>
      <c r="R25" s="114"/>
    </row>
    <row r="26" spans="1:18" ht="22.5">
      <c r="A26" s="96">
        <v>5</v>
      </c>
      <c r="B26" s="93" t="s">
        <v>175</v>
      </c>
      <c r="C26" s="57" t="s">
        <v>169</v>
      </c>
      <c r="D26" s="152">
        <v>1.4E-3</v>
      </c>
      <c r="E26" s="138">
        <f t="shared" si="15"/>
        <v>0.21715400000000001</v>
      </c>
      <c r="F26" s="138">
        <f t="shared" si="16"/>
        <v>2.7144250000000003E-3</v>
      </c>
      <c r="G26" s="138" t="s">
        <v>12</v>
      </c>
      <c r="H26" s="138" t="s">
        <v>12</v>
      </c>
      <c r="I26" s="138" t="s">
        <v>12</v>
      </c>
      <c r="J26" s="138" t="s">
        <v>12</v>
      </c>
      <c r="K26" s="138">
        <f t="shared" si="17"/>
        <v>0.21715400000000001</v>
      </c>
      <c r="L26" s="152">
        <v>37613.14</v>
      </c>
      <c r="M26" s="154">
        <f t="shared" si="14"/>
        <v>8167.8438035600002</v>
      </c>
      <c r="O26" s="112"/>
      <c r="P26" s="113"/>
      <c r="Q26" s="150"/>
      <c r="R26" s="114"/>
    </row>
    <row r="27" spans="1:18">
      <c r="A27" s="96">
        <v>6</v>
      </c>
      <c r="B27" s="93" t="s">
        <v>170</v>
      </c>
      <c r="C27" s="57" t="s">
        <v>169</v>
      </c>
      <c r="D27" s="152"/>
      <c r="E27" s="138">
        <f t="shared" si="15"/>
        <v>0</v>
      </c>
      <c r="F27" s="138">
        <f t="shared" si="16"/>
        <v>0</v>
      </c>
      <c r="G27" s="138" t="s">
        <v>12</v>
      </c>
      <c r="H27" s="138" t="s">
        <v>12</v>
      </c>
      <c r="I27" s="138" t="s">
        <v>12</v>
      </c>
      <c r="J27" s="138" t="s">
        <v>12</v>
      </c>
      <c r="K27" s="138">
        <f t="shared" si="17"/>
        <v>0</v>
      </c>
      <c r="L27" s="152">
        <v>42370</v>
      </c>
      <c r="M27" s="154">
        <f>K27*L27</f>
        <v>0</v>
      </c>
      <c r="O27" s="112"/>
      <c r="P27" s="113"/>
      <c r="Q27" s="150"/>
      <c r="R27" s="114"/>
    </row>
    <row r="28" spans="1:18" ht="22.5">
      <c r="A28" s="96">
        <v>7</v>
      </c>
      <c r="B28" s="93" t="s">
        <v>191</v>
      </c>
      <c r="C28" s="57" t="s">
        <v>173</v>
      </c>
      <c r="D28" s="152">
        <v>0.08</v>
      </c>
      <c r="E28" s="138">
        <f t="shared" si="15"/>
        <v>12.408800000000001</v>
      </c>
      <c r="F28" s="138">
        <f t="shared" si="16"/>
        <v>0.15511000000000003</v>
      </c>
      <c r="G28" s="138" t="s">
        <v>12</v>
      </c>
      <c r="H28" s="138" t="s">
        <v>12</v>
      </c>
      <c r="I28" s="138" t="s">
        <v>12</v>
      </c>
      <c r="J28" s="138" t="s">
        <v>12</v>
      </c>
      <c r="K28" s="138">
        <f t="shared" si="17"/>
        <v>12.408800000000001</v>
      </c>
      <c r="L28" s="152">
        <v>20.78</v>
      </c>
      <c r="M28" s="154">
        <f>K28*L28</f>
        <v>257.85486400000002</v>
      </c>
      <c r="O28" s="112"/>
      <c r="P28" s="113"/>
      <c r="Q28" s="150"/>
      <c r="R28" s="114"/>
    </row>
    <row r="29" spans="1:18" ht="56.25">
      <c r="A29" s="96">
        <v>8</v>
      </c>
      <c r="B29" s="93" t="s">
        <v>192</v>
      </c>
      <c r="C29" s="57" t="s">
        <v>171</v>
      </c>
      <c r="D29" s="152">
        <v>1.1000000000000001E-3</v>
      </c>
      <c r="E29" s="138">
        <f t="shared" si="15"/>
        <v>0.17062100000000002</v>
      </c>
      <c r="F29" s="138">
        <f t="shared" si="16"/>
        <v>2.1327625000000005E-3</v>
      </c>
      <c r="G29" s="138" t="s">
        <v>12</v>
      </c>
      <c r="H29" s="138" t="s">
        <v>12</v>
      </c>
      <c r="I29" s="138" t="s">
        <v>12</v>
      </c>
      <c r="J29" s="138" t="s">
        <v>12</v>
      </c>
      <c r="K29" s="138">
        <f t="shared" si="17"/>
        <v>0.17062100000000002</v>
      </c>
      <c r="L29" s="152">
        <v>2400</v>
      </c>
      <c r="M29" s="154">
        <f t="shared" si="14"/>
        <v>409.49040000000008</v>
      </c>
      <c r="O29" s="112"/>
      <c r="P29" s="113"/>
      <c r="Q29" s="150"/>
      <c r="R29" s="114"/>
    </row>
    <row r="30" spans="1:18" ht="22.5">
      <c r="A30" s="96">
        <v>9</v>
      </c>
      <c r="B30" s="93" t="s">
        <v>193</v>
      </c>
      <c r="C30" s="57" t="s">
        <v>169</v>
      </c>
      <c r="D30" s="152">
        <v>4.0000000000000002E-4</v>
      </c>
      <c r="E30" s="138">
        <f t="shared" si="15"/>
        <v>6.2044000000000009E-2</v>
      </c>
      <c r="F30" s="138">
        <f t="shared" si="16"/>
        <v>7.7555000000000007E-4</v>
      </c>
      <c r="G30" s="138" t="s">
        <v>12</v>
      </c>
      <c r="H30" s="138" t="s">
        <v>12</v>
      </c>
      <c r="I30" s="138" t="s">
        <v>12</v>
      </c>
      <c r="J30" s="138" t="s">
        <v>12</v>
      </c>
      <c r="K30" s="138">
        <f t="shared" si="17"/>
        <v>6.2044000000000009E-2</v>
      </c>
      <c r="L30" s="152">
        <v>88157.16</v>
      </c>
      <c r="M30" s="154">
        <f t="shared" si="14"/>
        <v>5469.6228350400006</v>
      </c>
      <c r="O30" s="112"/>
      <c r="P30" s="113"/>
      <c r="Q30" s="150"/>
      <c r="R30" s="114"/>
    </row>
    <row r="31" spans="1:18" s="1" customFormat="1" ht="67.5">
      <c r="A31" s="96">
        <v>10</v>
      </c>
      <c r="B31" s="93" t="s">
        <v>195</v>
      </c>
      <c r="C31" s="57" t="s">
        <v>169</v>
      </c>
      <c r="D31" s="152">
        <v>7.0000000000000001E-3</v>
      </c>
      <c r="E31" s="138">
        <f t="shared" ref="E31:E32" si="18">155.11*D31</f>
        <v>1.0857700000000001</v>
      </c>
      <c r="F31" s="138">
        <f t="shared" ref="F31:F32" si="19">E31/80</f>
        <v>1.3572125000000001E-2</v>
      </c>
      <c r="G31" s="138" t="s">
        <v>12</v>
      </c>
      <c r="H31" s="138" t="s">
        <v>12</v>
      </c>
      <c r="I31" s="138" t="s">
        <v>12</v>
      </c>
      <c r="J31" s="138" t="s">
        <v>12</v>
      </c>
      <c r="K31" s="138">
        <f t="shared" ref="K31:K32" si="20">E31</f>
        <v>1.0857700000000001</v>
      </c>
      <c r="L31" s="152">
        <v>30208.75</v>
      </c>
      <c r="M31" s="154">
        <f t="shared" ref="M31:M32" si="21">K31*L31</f>
        <v>32799.754487500002</v>
      </c>
      <c r="O31" s="112"/>
      <c r="P31" s="113"/>
      <c r="Q31" s="150"/>
      <c r="R31" s="114"/>
    </row>
    <row r="32" spans="1:18" s="1" customFormat="1">
      <c r="A32" s="96">
        <v>11</v>
      </c>
      <c r="B32" s="93" t="s">
        <v>343</v>
      </c>
      <c r="C32" s="57" t="s">
        <v>169</v>
      </c>
      <c r="D32" s="152">
        <v>2</v>
      </c>
      <c r="E32" s="138">
        <f t="shared" si="18"/>
        <v>310.22000000000003</v>
      </c>
      <c r="F32" s="138">
        <f t="shared" si="19"/>
        <v>3.8777500000000003</v>
      </c>
      <c r="G32" s="138" t="s">
        <v>12</v>
      </c>
      <c r="H32" s="138" t="s">
        <v>12</v>
      </c>
      <c r="I32" s="138" t="s">
        <v>12</v>
      </c>
      <c r="J32" s="138" t="s">
        <v>12</v>
      </c>
      <c r="K32" s="138">
        <f t="shared" si="20"/>
        <v>310.22000000000003</v>
      </c>
      <c r="L32" s="152">
        <v>32120</v>
      </c>
      <c r="M32" s="154">
        <f t="shared" si="21"/>
        <v>9964266.4000000004</v>
      </c>
      <c r="O32" s="112"/>
      <c r="P32" s="113"/>
      <c r="Q32" s="150"/>
      <c r="R32" s="114"/>
    </row>
    <row r="33" spans="1:18" s="1" customFormat="1" ht="56.25">
      <c r="A33" s="96">
        <v>12</v>
      </c>
      <c r="B33" s="93" t="s">
        <v>196</v>
      </c>
      <c r="C33" s="57" t="s">
        <v>198</v>
      </c>
      <c r="D33" s="152">
        <v>1.8100000000000002E-2</v>
      </c>
      <c r="E33" s="138">
        <f t="shared" ref="E33:E34" si="22">155.11*D33</f>
        <v>2.8074910000000006</v>
      </c>
      <c r="F33" s="138">
        <f t="shared" ref="F33:F34" si="23">E33/80</f>
        <v>3.5093637500000011E-2</v>
      </c>
      <c r="G33" s="138" t="s">
        <v>12</v>
      </c>
      <c r="H33" s="138" t="s">
        <v>12</v>
      </c>
      <c r="I33" s="138" t="s">
        <v>12</v>
      </c>
      <c r="J33" s="138" t="s">
        <v>12</v>
      </c>
      <c r="K33" s="138">
        <f t="shared" ref="K33:K34" si="24">E33</f>
        <v>2.8074910000000006</v>
      </c>
      <c r="L33" s="152">
        <v>162.94999999999999</v>
      </c>
      <c r="M33" s="154">
        <f t="shared" ref="M33:M34" si="25">K33*L33</f>
        <v>457.48065845000008</v>
      </c>
      <c r="O33" s="112"/>
      <c r="P33" s="113"/>
      <c r="Q33" s="150"/>
      <c r="R33" s="114"/>
    </row>
    <row r="34" spans="1:18" s="1" customFormat="1" ht="22.5">
      <c r="A34" s="96">
        <v>13</v>
      </c>
      <c r="B34" s="93" t="s">
        <v>197</v>
      </c>
      <c r="C34" s="57" t="s">
        <v>199</v>
      </c>
      <c r="D34" s="152">
        <v>0.26</v>
      </c>
      <c r="E34" s="138">
        <f t="shared" si="22"/>
        <v>40.328600000000002</v>
      </c>
      <c r="F34" s="138">
        <f t="shared" si="23"/>
        <v>0.50410750000000004</v>
      </c>
      <c r="G34" s="138" t="s">
        <v>12</v>
      </c>
      <c r="H34" s="138" t="s">
        <v>12</v>
      </c>
      <c r="I34" s="138" t="s">
        <v>12</v>
      </c>
      <c r="J34" s="138" t="s">
        <v>12</v>
      </c>
      <c r="K34" s="138">
        <f t="shared" si="24"/>
        <v>40.328600000000002</v>
      </c>
      <c r="L34" s="152">
        <v>76.42</v>
      </c>
      <c r="M34" s="154">
        <f t="shared" si="25"/>
        <v>3081.9116120000003</v>
      </c>
      <c r="O34" s="112"/>
      <c r="P34" s="113"/>
      <c r="Q34" s="150"/>
      <c r="R34" s="114"/>
    </row>
    <row r="35" spans="1:18" s="1" customFormat="1">
      <c r="A35" s="96"/>
      <c r="B35" s="102"/>
      <c r="C35" s="159"/>
      <c r="D35" s="155"/>
      <c r="E35" s="103"/>
      <c r="F35" s="103"/>
      <c r="G35" s="103"/>
      <c r="H35" s="103"/>
      <c r="I35" s="103"/>
      <c r="J35" s="103"/>
      <c r="K35" s="103"/>
      <c r="L35" s="156"/>
      <c r="M35" s="162"/>
      <c r="N35" s="157">
        <f>SUM(M22:M34)</f>
        <v>10060877.37002605</v>
      </c>
      <c r="O35" s="10"/>
      <c r="P35" s="113"/>
      <c r="Q35" s="150"/>
      <c r="R35" s="114"/>
    </row>
    <row r="36" spans="1:18" s="1" customFormat="1" ht="19.5" customHeight="1">
      <c r="A36" s="97">
        <v>3</v>
      </c>
      <c r="B36" s="260" t="s">
        <v>28</v>
      </c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262"/>
      <c r="O36" s="10"/>
      <c r="P36" s="113"/>
      <c r="Q36" s="150"/>
      <c r="R36" s="114"/>
    </row>
    <row r="37" spans="1:18" s="1" customFormat="1" ht="22.5">
      <c r="A37" s="96">
        <v>1</v>
      </c>
      <c r="B37" s="93" t="s">
        <v>200</v>
      </c>
      <c r="C37" s="57" t="s">
        <v>169</v>
      </c>
      <c r="D37" s="152">
        <v>0.2</v>
      </c>
      <c r="E37" s="138">
        <f>1.42*D37</f>
        <v>0.28399999999999997</v>
      </c>
      <c r="F37" s="138">
        <f>E37/63</f>
        <v>4.5079365079365077E-3</v>
      </c>
      <c r="G37" s="138" t="s">
        <v>12</v>
      </c>
      <c r="H37" s="138" t="s">
        <v>12</v>
      </c>
      <c r="I37" s="138" t="s">
        <v>12</v>
      </c>
      <c r="J37" s="138" t="s">
        <v>12</v>
      </c>
      <c r="K37" s="138">
        <f t="shared" si="17"/>
        <v>0.28399999999999997</v>
      </c>
      <c r="L37" s="152">
        <v>24918.66</v>
      </c>
      <c r="M37" s="154">
        <f>K37*L37</f>
        <v>7076.8994399999992</v>
      </c>
      <c r="O37" s="112"/>
      <c r="P37" s="113"/>
      <c r="Q37" s="150"/>
      <c r="R37" s="114"/>
    </row>
    <row r="38" spans="1:18" ht="22.5">
      <c r="A38" s="96">
        <v>2</v>
      </c>
      <c r="B38" s="93" t="s">
        <v>344</v>
      </c>
      <c r="C38" s="57" t="s">
        <v>169</v>
      </c>
      <c r="D38" s="152">
        <v>0.4</v>
      </c>
      <c r="E38" s="138">
        <f t="shared" ref="E38:E47" si="26">1.42*D38</f>
        <v>0.56799999999999995</v>
      </c>
      <c r="F38" s="138">
        <f t="shared" ref="F38:F47" si="27">E38/63</f>
        <v>9.0158730158730153E-3</v>
      </c>
      <c r="G38" s="138" t="s">
        <v>12</v>
      </c>
      <c r="H38" s="138" t="s">
        <v>12</v>
      </c>
      <c r="I38" s="138" t="s">
        <v>12</v>
      </c>
      <c r="J38" s="138" t="s">
        <v>12</v>
      </c>
      <c r="K38" s="138">
        <f t="shared" si="17"/>
        <v>0.56799999999999995</v>
      </c>
      <c r="L38" s="152">
        <v>25120</v>
      </c>
      <c r="M38" s="154">
        <f t="shared" si="14"/>
        <v>14268.159999999998</v>
      </c>
      <c r="O38" s="112"/>
      <c r="P38" s="113"/>
      <c r="Q38" s="150"/>
      <c r="R38" s="114"/>
    </row>
    <row r="39" spans="1:18" ht="22.5">
      <c r="A39" s="96">
        <v>3</v>
      </c>
      <c r="B39" s="93" t="s">
        <v>201</v>
      </c>
      <c r="C39" s="57" t="s">
        <v>169</v>
      </c>
      <c r="D39" s="152">
        <v>0.79</v>
      </c>
      <c r="E39" s="138">
        <f t="shared" si="26"/>
        <v>1.1217999999999999</v>
      </c>
      <c r="F39" s="138">
        <f t="shared" si="27"/>
        <v>1.7806349206349204E-2</v>
      </c>
      <c r="G39" s="138" t="s">
        <v>12</v>
      </c>
      <c r="H39" s="138" t="s">
        <v>12</v>
      </c>
      <c r="I39" s="138" t="s">
        <v>12</v>
      </c>
      <c r="J39" s="138" t="s">
        <v>12</v>
      </c>
      <c r="K39" s="138">
        <f t="shared" si="17"/>
        <v>1.1217999999999999</v>
      </c>
      <c r="L39" s="152">
        <v>39211.18</v>
      </c>
      <c r="M39" s="154">
        <f t="shared" si="14"/>
        <v>43987.101724</v>
      </c>
      <c r="O39" s="112"/>
      <c r="P39" s="113"/>
      <c r="Q39" s="150"/>
      <c r="R39" s="114"/>
    </row>
    <row r="40" spans="1:18">
      <c r="A40" s="96">
        <v>4</v>
      </c>
      <c r="B40" s="93" t="s">
        <v>170</v>
      </c>
      <c r="C40" s="57" t="s">
        <v>169</v>
      </c>
      <c r="D40" s="152">
        <v>9.8000000000000004E-2</v>
      </c>
      <c r="E40" s="138">
        <f t="shared" si="26"/>
        <v>0.13916000000000001</v>
      </c>
      <c r="F40" s="138">
        <f t="shared" si="27"/>
        <v>2.2088888888888891E-3</v>
      </c>
      <c r="G40" s="138" t="s">
        <v>12</v>
      </c>
      <c r="H40" s="138" t="s">
        <v>12</v>
      </c>
      <c r="I40" s="138" t="s">
        <v>12</v>
      </c>
      <c r="J40" s="138" t="s">
        <v>12</v>
      </c>
      <c r="K40" s="138">
        <f t="shared" si="17"/>
        <v>0.13916000000000001</v>
      </c>
      <c r="L40" s="152">
        <v>42370</v>
      </c>
      <c r="M40" s="154">
        <f t="shared" si="14"/>
        <v>5896.2092000000002</v>
      </c>
      <c r="O40" s="112"/>
      <c r="P40" s="113"/>
      <c r="Q40" s="150"/>
      <c r="R40" s="114"/>
    </row>
    <row r="41" spans="1:18" ht="33.75">
      <c r="A41" s="96">
        <v>5</v>
      </c>
      <c r="B41" s="93" t="s">
        <v>202</v>
      </c>
      <c r="C41" s="57" t="s">
        <v>169</v>
      </c>
      <c r="D41" s="152">
        <v>0.55000000000000004</v>
      </c>
      <c r="E41" s="138">
        <f t="shared" si="26"/>
        <v>0.78100000000000003</v>
      </c>
      <c r="F41" s="138">
        <f t="shared" si="27"/>
        <v>1.2396825396825397E-2</v>
      </c>
      <c r="G41" s="138" t="s">
        <v>12</v>
      </c>
      <c r="H41" s="138" t="s">
        <v>12</v>
      </c>
      <c r="I41" s="138" t="s">
        <v>12</v>
      </c>
      <c r="J41" s="138" t="s">
        <v>12</v>
      </c>
      <c r="K41" s="138">
        <f t="shared" si="17"/>
        <v>0.78100000000000003</v>
      </c>
      <c r="L41" s="152">
        <v>29824.560000000001</v>
      </c>
      <c r="M41" s="154">
        <f>K41*L41</f>
        <v>23292.981360000002</v>
      </c>
      <c r="O41" s="112"/>
      <c r="P41" s="10"/>
      <c r="Q41" s="10"/>
      <c r="R41" s="10"/>
    </row>
    <row r="42" spans="1:18" s="1" customFormat="1" ht="56.25">
      <c r="A42" s="96">
        <v>6</v>
      </c>
      <c r="B42" s="93" t="s">
        <v>203</v>
      </c>
      <c r="C42" s="57" t="s">
        <v>171</v>
      </c>
      <c r="D42" s="152">
        <v>8.73</v>
      </c>
      <c r="E42" s="138">
        <f t="shared" ref="E42:E45" si="28">1.42*D42</f>
        <v>12.396599999999999</v>
      </c>
      <c r="F42" s="138">
        <f t="shared" ref="F42:F45" si="29">E42/63</f>
        <v>0.19677142857142857</v>
      </c>
      <c r="G42" s="138" t="s">
        <v>12</v>
      </c>
      <c r="H42" s="138" t="s">
        <v>12</v>
      </c>
      <c r="I42" s="138" t="s">
        <v>12</v>
      </c>
      <c r="J42" s="138" t="s">
        <v>12</v>
      </c>
      <c r="K42" s="138">
        <f t="shared" ref="K42:K45" si="30">E42</f>
        <v>12.396599999999999</v>
      </c>
      <c r="L42" s="152">
        <v>7164.68</v>
      </c>
      <c r="M42" s="154">
        <f t="shared" ref="M42:M44" si="31">K42*L42</f>
        <v>88817.672087999992</v>
      </c>
      <c r="O42" s="112"/>
      <c r="P42" s="113"/>
      <c r="Q42" s="150"/>
      <c r="R42" s="114"/>
    </row>
    <row r="43" spans="1:18" s="1" customFormat="1" ht="56.25">
      <c r="A43" s="96">
        <v>7</v>
      </c>
      <c r="B43" s="93" t="s">
        <v>345</v>
      </c>
      <c r="C43" s="57" t="s">
        <v>171</v>
      </c>
      <c r="D43" s="152">
        <v>13.69</v>
      </c>
      <c r="E43" s="138">
        <f t="shared" si="28"/>
        <v>19.439799999999998</v>
      </c>
      <c r="F43" s="138">
        <f t="shared" si="29"/>
        <v>0.30856825396825394</v>
      </c>
      <c r="G43" s="138" t="s">
        <v>12</v>
      </c>
      <c r="H43" s="138" t="s">
        <v>12</v>
      </c>
      <c r="I43" s="138" t="s">
        <v>12</v>
      </c>
      <c r="J43" s="138" t="s">
        <v>12</v>
      </c>
      <c r="K43" s="138">
        <f t="shared" si="30"/>
        <v>19.439799999999998</v>
      </c>
      <c r="L43" s="152">
        <v>4970.07</v>
      </c>
      <c r="M43" s="154">
        <f t="shared" si="31"/>
        <v>96617.166785999987</v>
      </c>
      <c r="O43" s="112"/>
      <c r="P43" s="113"/>
      <c r="Q43" s="150"/>
      <c r="R43" s="114"/>
    </row>
    <row r="44" spans="1:18" s="1" customFormat="1" ht="33.75">
      <c r="A44" s="96">
        <v>8</v>
      </c>
      <c r="B44" s="93" t="s">
        <v>204</v>
      </c>
      <c r="C44" s="57" t="s">
        <v>171</v>
      </c>
      <c r="D44" s="152">
        <v>21.5</v>
      </c>
      <c r="E44" s="138">
        <f t="shared" si="28"/>
        <v>30.529999999999998</v>
      </c>
      <c r="F44" s="138">
        <f t="shared" si="29"/>
        <v>0.48460317460317459</v>
      </c>
      <c r="G44" s="138" t="s">
        <v>12</v>
      </c>
      <c r="H44" s="138" t="s">
        <v>12</v>
      </c>
      <c r="I44" s="138" t="s">
        <v>12</v>
      </c>
      <c r="J44" s="138" t="s">
        <v>12</v>
      </c>
      <c r="K44" s="138">
        <f t="shared" si="30"/>
        <v>30.529999999999998</v>
      </c>
      <c r="L44" s="152">
        <v>3252.34</v>
      </c>
      <c r="M44" s="154">
        <f t="shared" si="31"/>
        <v>99293.940199999997</v>
      </c>
      <c r="O44" s="112"/>
      <c r="P44" s="113"/>
      <c r="Q44" s="150"/>
      <c r="R44" s="114"/>
    </row>
    <row r="45" spans="1:18" s="1" customFormat="1" ht="22.5">
      <c r="A45" s="96">
        <v>9</v>
      </c>
      <c r="B45" s="93" t="s">
        <v>205</v>
      </c>
      <c r="C45" s="57" t="s">
        <v>171</v>
      </c>
      <c r="D45" s="152">
        <v>0.51</v>
      </c>
      <c r="E45" s="138">
        <f t="shared" si="28"/>
        <v>0.72419999999999995</v>
      </c>
      <c r="F45" s="138">
        <f t="shared" si="29"/>
        <v>1.1495238095238095E-2</v>
      </c>
      <c r="G45" s="138" t="s">
        <v>12</v>
      </c>
      <c r="H45" s="138" t="s">
        <v>12</v>
      </c>
      <c r="I45" s="138" t="s">
        <v>12</v>
      </c>
      <c r="J45" s="138" t="s">
        <v>12</v>
      </c>
      <c r="K45" s="138">
        <f t="shared" si="30"/>
        <v>0.72419999999999995</v>
      </c>
      <c r="L45" s="152">
        <v>1724.97</v>
      </c>
      <c r="M45" s="154">
        <f>K45*L45</f>
        <v>1249.2232739999999</v>
      </c>
      <c r="O45" s="112"/>
      <c r="P45" s="10"/>
      <c r="Q45" s="10"/>
      <c r="R45" s="10"/>
    </row>
    <row r="46" spans="1:18" ht="45">
      <c r="A46" s="96">
        <v>10</v>
      </c>
      <c r="B46" s="93" t="s">
        <v>346</v>
      </c>
      <c r="C46" s="57" t="s">
        <v>171</v>
      </c>
      <c r="D46" s="152">
        <v>9.1</v>
      </c>
      <c r="E46" s="138">
        <f>1.42*D46</f>
        <v>12.921999999999999</v>
      </c>
      <c r="F46" s="138">
        <f>E46/63</f>
        <v>0.20511111111111111</v>
      </c>
      <c r="G46" s="138" t="s">
        <v>12</v>
      </c>
      <c r="H46" s="138" t="s">
        <v>12</v>
      </c>
      <c r="I46" s="138" t="s">
        <v>12</v>
      </c>
      <c r="J46" s="138" t="s">
        <v>12</v>
      </c>
      <c r="K46" s="138">
        <f t="shared" si="17"/>
        <v>12.921999999999999</v>
      </c>
      <c r="L46" s="152">
        <v>358.36</v>
      </c>
      <c r="M46" s="154">
        <f t="shared" si="14"/>
        <v>4630.7279199999994</v>
      </c>
      <c r="O46" s="112"/>
      <c r="P46" s="10"/>
      <c r="Q46" s="10"/>
      <c r="R46" s="10"/>
    </row>
    <row r="47" spans="1:18" ht="30.75" customHeight="1">
      <c r="A47" s="96">
        <v>11</v>
      </c>
      <c r="B47" s="93" t="s">
        <v>347</v>
      </c>
      <c r="C47" s="57" t="s">
        <v>171</v>
      </c>
      <c r="D47" s="152">
        <v>107</v>
      </c>
      <c r="E47" s="138">
        <f t="shared" si="26"/>
        <v>151.94</v>
      </c>
      <c r="F47" s="138">
        <f t="shared" si="27"/>
        <v>2.4117460317460315</v>
      </c>
      <c r="G47" s="138" t="s">
        <v>12</v>
      </c>
      <c r="H47" s="138" t="s">
        <v>12</v>
      </c>
      <c r="I47" s="138" t="s">
        <v>12</v>
      </c>
      <c r="J47" s="138" t="s">
        <v>12</v>
      </c>
      <c r="K47" s="138">
        <f t="shared" si="17"/>
        <v>151.94</v>
      </c>
      <c r="L47" s="152">
        <v>5120</v>
      </c>
      <c r="M47" s="154">
        <f t="shared" si="14"/>
        <v>777932.80000000005</v>
      </c>
      <c r="O47" s="112"/>
      <c r="P47" s="10"/>
      <c r="Q47" s="10"/>
      <c r="R47" s="10"/>
    </row>
    <row r="48" spans="1:18" s="1" customFormat="1" ht="18" customHeight="1">
      <c r="A48" s="96"/>
      <c r="B48" s="102"/>
      <c r="C48" s="159"/>
      <c r="D48" s="160"/>
      <c r="E48" s="103"/>
      <c r="F48" s="103"/>
      <c r="G48" s="103"/>
      <c r="H48" s="103"/>
      <c r="I48" s="103"/>
      <c r="J48" s="103"/>
      <c r="K48" s="103"/>
      <c r="L48" s="160"/>
      <c r="M48" s="162"/>
      <c r="N48" s="157">
        <f>SUM(M37:M47)</f>
        <v>1163062.8819919999</v>
      </c>
      <c r="O48" s="10"/>
      <c r="P48" s="10"/>
      <c r="Q48" s="10"/>
      <c r="R48" s="10"/>
    </row>
    <row r="49" spans="1:18" ht="29.25" customHeight="1">
      <c r="A49" s="30">
        <v>4</v>
      </c>
      <c r="B49" s="260" t="s">
        <v>29</v>
      </c>
      <c r="C49" s="261"/>
      <c r="D49" s="261"/>
      <c r="E49" s="261"/>
      <c r="F49" s="261"/>
      <c r="G49" s="261"/>
      <c r="H49" s="261"/>
      <c r="I49" s="261"/>
      <c r="J49" s="261"/>
      <c r="K49" s="261"/>
      <c r="L49" s="261"/>
      <c r="M49" s="262"/>
      <c r="O49" s="10"/>
      <c r="P49" s="10"/>
      <c r="Q49" s="10"/>
      <c r="R49" s="10"/>
    </row>
    <row r="50" spans="1:18" s="1" customFormat="1" ht="90">
      <c r="A50" s="96">
        <v>1</v>
      </c>
      <c r="B50" s="93" t="s">
        <v>206</v>
      </c>
      <c r="C50" s="57" t="s">
        <v>169</v>
      </c>
      <c r="D50" s="152">
        <v>1.8</v>
      </c>
      <c r="E50" s="138">
        <f>4.51*D50</f>
        <v>8.1180000000000003</v>
      </c>
      <c r="F50" s="138">
        <f t="shared" ref="F50:F51" si="32">E50/63</f>
        <v>0.12885714285714286</v>
      </c>
      <c r="G50" s="138" t="s">
        <v>12</v>
      </c>
      <c r="H50" s="138" t="s">
        <v>12</v>
      </c>
      <c r="I50" s="138" t="s">
        <v>12</v>
      </c>
      <c r="J50" s="138" t="s">
        <v>12</v>
      </c>
      <c r="K50" s="138">
        <f t="shared" si="17"/>
        <v>8.1180000000000003</v>
      </c>
      <c r="L50" s="115">
        <v>39347.39</v>
      </c>
      <c r="M50" s="154">
        <f t="shared" ref="M50:M62" si="33">K50*L50</f>
        <v>319422.11202</v>
      </c>
      <c r="O50" s="112"/>
      <c r="P50" s="113"/>
      <c r="Q50" s="112"/>
      <c r="R50" s="114"/>
    </row>
    <row r="51" spans="1:18" s="1" customFormat="1" ht="22.5">
      <c r="A51" s="98">
        <v>2</v>
      </c>
      <c r="B51" s="93" t="s">
        <v>347</v>
      </c>
      <c r="C51" s="57" t="s">
        <v>173</v>
      </c>
      <c r="D51" s="152">
        <v>109</v>
      </c>
      <c r="E51" s="138">
        <f>4.51*D51</f>
        <v>491.59</v>
      </c>
      <c r="F51" s="138">
        <f t="shared" si="32"/>
        <v>7.8030158730158723</v>
      </c>
      <c r="G51" s="138" t="s">
        <v>12</v>
      </c>
      <c r="H51" s="138" t="s">
        <v>12</v>
      </c>
      <c r="I51" s="138" t="s">
        <v>12</v>
      </c>
      <c r="J51" s="138" t="s">
        <v>12</v>
      </c>
      <c r="K51" s="138">
        <f t="shared" si="17"/>
        <v>491.59</v>
      </c>
      <c r="L51" s="115">
        <v>8120</v>
      </c>
      <c r="M51" s="154">
        <f>K51*L51</f>
        <v>3991710.8</v>
      </c>
      <c r="O51" s="112"/>
      <c r="P51" s="113"/>
      <c r="Q51" s="112"/>
      <c r="R51" s="114"/>
    </row>
    <row r="52" spans="1:18" s="1" customFormat="1">
      <c r="A52" s="98"/>
      <c r="B52" s="102"/>
      <c r="C52" s="159"/>
      <c r="D52" s="160"/>
      <c r="E52" s="103"/>
      <c r="F52" s="103"/>
      <c r="G52" s="103"/>
      <c r="H52" s="103"/>
      <c r="I52" s="103"/>
      <c r="J52" s="103"/>
      <c r="K52" s="103"/>
      <c r="L52" s="160"/>
      <c r="M52" s="162"/>
      <c r="N52" s="157">
        <f>M50+M51</f>
        <v>4311132.9120199997</v>
      </c>
      <c r="O52" s="10"/>
      <c r="P52" s="113"/>
      <c r="Q52" s="150"/>
      <c r="R52" s="114"/>
    </row>
    <row r="53" spans="1:18" ht="22.5" customHeight="1">
      <c r="A53" s="94">
        <v>5</v>
      </c>
      <c r="B53" s="254" t="s">
        <v>30</v>
      </c>
      <c r="C53" s="255"/>
      <c r="D53" s="255"/>
      <c r="E53" s="255"/>
      <c r="F53" s="255"/>
      <c r="G53" s="255"/>
      <c r="H53" s="255"/>
      <c r="I53" s="255"/>
      <c r="J53" s="255"/>
      <c r="K53" s="255"/>
      <c r="L53" s="255"/>
      <c r="M53" s="256"/>
      <c r="O53" s="10"/>
      <c r="P53" s="10"/>
      <c r="Q53" s="10"/>
      <c r="R53" s="10"/>
    </row>
    <row r="54" spans="1:18" s="1" customFormat="1" ht="67.5">
      <c r="A54" s="98">
        <v>1</v>
      </c>
      <c r="B54" s="93" t="s">
        <v>176</v>
      </c>
      <c r="C54" s="57" t="s">
        <v>171</v>
      </c>
      <c r="D54" s="152">
        <v>1.06</v>
      </c>
      <c r="E54" s="138">
        <f>566.09*D54</f>
        <v>600.05540000000008</v>
      </c>
      <c r="F54" s="138">
        <f>E54/31</f>
        <v>19.356625806451614</v>
      </c>
      <c r="G54" s="138" t="s">
        <v>12</v>
      </c>
      <c r="H54" s="138" t="s">
        <v>12</v>
      </c>
      <c r="I54" s="138" t="s">
        <v>12</v>
      </c>
      <c r="J54" s="138" t="s">
        <v>12</v>
      </c>
      <c r="K54" s="138">
        <f t="shared" ref="K54:K56" si="34">E54</f>
        <v>600.05540000000008</v>
      </c>
      <c r="L54" s="152">
        <v>3520</v>
      </c>
      <c r="M54" s="154">
        <f>K54*L54</f>
        <v>2112195.0080000004</v>
      </c>
      <c r="O54" s="10"/>
      <c r="P54" s="10"/>
      <c r="Q54" s="10"/>
      <c r="R54" s="10"/>
    </row>
    <row r="55" spans="1:18" s="1" customFormat="1" ht="22.5">
      <c r="A55" s="98">
        <v>2</v>
      </c>
      <c r="B55" s="93" t="s">
        <v>177</v>
      </c>
      <c r="C55" s="57" t="s">
        <v>171</v>
      </c>
      <c r="D55" s="152">
        <v>0.34</v>
      </c>
      <c r="E55" s="138">
        <f>566.09*D55</f>
        <v>192.47060000000002</v>
      </c>
      <c r="F55" s="138">
        <f>E55/31</f>
        <v>6.2087290322580655</v>
      </c>
      <c r="G55" s="138" t="s">
        <v>12</v>
      </c>
      <c r="H55" s="138" t="s">
        <v>12</v>
      </c>
      <c r="I55" s="138" t="s">
        <v>12</v>
      </c>
      <c r="J55" s="138" t="s">
        <v>12</v>
      </c>
      <c r="K55" s="138">
        <f t="shared" si="34"/>
        <v>192.47060000000002</v>
      </c>
      <c r="L55" s="152">
        <v>256.31</v>
      </c>
      <c r="M55" s="154">
        <f t="shared" ref="M55:M56" si="35">K55*L55</f>
        <v>49332.139486000007</v>
      </c>
      <c r="O55" s="10"/>
      <c r="P55" s="10"/>
      <c r="Q55" s="10"/>
      <c r="R55" s="10"/>
    </row>
    <row r="56" spans="1:18" s="1" customFormat="1">
      <c r="A56" s="98">
        <v>3</v>
      </c>
      <c r="B56" s="93" t="s">
        <v>174</v>
      </c>
      <c r="C56" s="57" t="s">
        <v>171</v>
      </c>
      <c r="D56" s="152">
        <v>0.38600000000000001</v>
      </c>
      <c r="E56" s="138">
        <f>566.09*D56</f>
        <v>218.51074000000003</v>
      </c>
      <c r="F56" s="138">
        <f>E56/31</f>
        <v>7.0487335483870979</v>
      </c>
      <c r="G56" s="138" t="s">
        <v>12</v>
      </c>
      <c r="H56" s="138" t="s">
        <v>12</v>
      </c>
      <c r="I56" s="138" t="s">
        <v>12</v>
      </c>
      <c r="J56" s="138" t="s">
        <v>12</v>
      </c>
      <c r="K56" s="138">
        <f t="shared" si="34"/>
        <v>218.51074000000003</v>
      </c>
      <c r="L56" s="152">
        <v>5.38</v>
      </c>
      <c r="M56" s="154">
        <f t="shared" si="35"/>
        <v>1175.5877812000001</v>
      </c>
      <c r="O56" s="10"/>
      <c r="P56" s="10"/>
      <c r="Q56" s="10"/>
      <c r="R56" s="10"/>
    </row>
    <row r="57" spans="1:18" s="1" customFormat="1">
      <c r="A57" s="98"/>
      <c r="B57" s="102"/>
      <c r="C57" s="159"/>
      <c r="D57" s="155"/>
      <c r="E57" s="103"/>
      <c r="F57" s="103"/>
      <c r="G57" s="103"/>
      <c r="H57" s="103"/>
      <c r="I57" s="103"/>
      <c r="J57" s="103"/>
      <c r="K57" s="103"/>
      <c r="L57" s="156"/>
      <c r="N57" s="157">
        <f>M54+M55+M56</f>
        <v>2162702.7352672005</v>
      </c>
      <c r="O57" s="10"/>
      <c r="P57" s="10"/>
      <c r="Q57" s="10"/>
      <c r="R57" s="10"/>
    </row>
    <row r="58" spans="1:18" ht="30.75" customHeight="1">
      <c r="A58" s="30">
        <v>6</v>
      </c>
      <c r="B58" s="260" t="s">
        <v>31</v>
      </c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62"/>
      <c r="O58" s="10"/>
      <c r="P58" s="10"/>
      <c r="Q58" s="10"/>
      <c r="R58" s="10"/>
    </row>
    <row r="59" spans="1:18" ht="22.5">
      <c r="A59" s="98">
        <v>1</v>
      </c>
      <c r="B59" s="93" t="s">
        <v>178</v>
      </c>
      <c r="C59" s="57" t="s">
        <v>169</v>
      </c>
      <c r="D59" s="152">
        <v>1.21</v>
      </c>
      <c r="E59" s="138">
        <f>98.7*D59</f>
        <v>119.42700000000001</v>
      </c>
      <c r="F59" s="138">
        <f>E59/69</f>
        <v>1.7308260869565217</v>
      </c>
      <c r="G59" s="138" t="s">
        <v>12</v>
      </c>
      <c r="H59" s="138" t="s">
        <v>12</v>
      </c>
      <c r="I59" s="138" t="s">
        <v>12</v>
      </c>
      <c r="J59" s="138" t="s">
        <v>12</v>
      </c>
      <c r="K59" s="138">
        <f t="shared" si="17"/>
        <v>119.42700000000001</v>
      </c>
      <c r="L59" s="115">
        <v>23730</v>
      </c>
      <c r="M59" s="154">
        <f>K59*L59</f>
        <v>2834002.71</v>
      </c>
      <c r="N59" s="112"/>
      <c r="O59" s="112"/>
      <c r="P59" s="112"/>
      <c r="Q59" s="10"/>
      <c r="R59" s="10"/>
    </row>
    <row r="60" spans="1:18" s="1" customFormat="1" ht="22.5">
      <c r="A60" s="98">
        <v>2</v>
      </c>
      <c r="B60" s="93" t="s">
        <v>179</v>
      </c>
      <c r="C60" s="57" t="s">
        <v>172</v>
      </c>
      <c r="D60" s="152">
        <v>467</v>
      </c>
      <c r="E60" s="138">
        <f t="shared" ref="E60:E62" si="36">98.7*D60</f>
        <v>46092.9</v>
      </c>
      <c r="F60" s="138">
        <f>E60/31</f>
        <v>1486.867741935484</v>
      </c>
      <c r="G60" s="138" t="s">
        <v>12</v>
      </c>
      <c r="H60" s="138" t="s">
        <v>12</v>
      </c>
      <c r="I60" s="138" t="s">
        <v>12</v>
      </c>
      <c r="J60" s="138" t="s">
        <v>12</v>
      </c>
      <c r="K60" s="138">
        <f t="shared" si="17"/>
        <v>46092.9</v>
      </c>
      <c r="L60" s="115">
        <v>20.34</v>
      </c>
      <c r="M60" s="154">
        <f>K60*L60</f>
        <v>937529.58600000001</v>
      </c>
      <c r="N60" s="112"/>
      <c r="O60" s="113"/>
      <c r="P60" s="112"/>
      <c r="Q60" s="114"/>
      <c r="R60" s="10"/>
    </row>
    <row r="61" spans="1:18" s="1" customFormat="1" ht="22.5">
      <c r="A61" s="98">
        <v>3</v>
      </c>
      <c r="B61" s="93" t="s">
        <v>180</v>
      </c>
      <c r="C61" s="57" t="s">
        <v>169</v>
      </c>
      <c r="D61" s="152">
        <v>5.0000000000000001E-3</v>
      </c>
      <c r="E61" s="138">
        <f t="shared" si="36"/>
        <v>0.49350000000000005</v>
      </c>
      <c r="F61" s="138">
        <f>E61/31</f>
        <v>1.5919354838709678E-2</v>
      </c>
      <c r="G61" s="138" t="s">
        <v>12</v>
      </c>
      <c r="H61" s="138" t="s">
        <v>12</v>
      </c>
      <c r="I61" s="138" t="s">
        <v>12</v>
      </c>
      <c r="J61" s="138" t="s">
        <v>12</v>
      </c>
      <c r="K61" s="138">
        <f t="shared" si="17"/>
        <v>0.49350000000000005</v>
      </c>
      <c r="L61" s="115">
        <v>114214.32</v>
      </c>
      <c r="M61" s="154">
        <f t="shared" ref="M61" si="37">K61*L61</f>
        <v>56364.766920000009</v>
      </c>
      <c r="N61" s="112"/>
      <c r="O61" s="113"/>
      <c r="P61" s="112"/>
      <c r="Q61" s="114"/>
      <c r="R61" s="10"/>
    </row>
    <row r="62" spans="1:18" ht="33.75">
      <c r="A62" s="98">
        <v>4</v>
      </c>
      <c r="B62" s="93" t="s">
        <v>181</v>
      </c>
      <c r="C62" s="57" t="s">
        <v>171</v>
      </c>
      <c r="D62" s="152">
        <v>1.0900000000000001</v>
      </c>
      <c r="E62" s="138">
        <f t="shared" si="36"/>
        <v>107.58300000000001</v>
      </c>
      <c r="F62" s="138">
        <f t="shared" ref="F62" si="38">E62/69</f>
        <v>1.5591739130434785</v>
      </c>
      <c r="G62" s="138" t="s">
        <v>12</v>
      </c>
      <c r="H62" s="138" t="s">
        <v>12</v>
      </c>
      <c r="I62" s="138" t="s">
        <v>12</v>
      </c>
      <c r="J62" s="138" t="s">
        <v>12</v>
      </c>
      <c r="K62" s="138">
        <f t="shared" si="17"/>
        <v>107.58300000000001</v>
      </c>
      <c r="L62" s="115">
        <v>676.23</v>
      </c>
      <c r="M62" s="154">
        <f t="shared" si="33"/>
        <v>72750.852090000015</v>
      </c>
      <c r="N62" s="112"/>
      <c r="O62" s="113"/>
      <c r="P62" s="112"/>
      <c r="Q62" s="114"/>
      <c r="R62" s="10"/>
    </row>
    <row r="63" spans="1:18" s="1" customFormat="1" ht="22.5" customHeight="1">
      <c r="A63" s="98"/>
      <c r="B63" s="102"/>
      <c r="C63" s="159"/>
      <c r="D63" s="160"/>
      <c r="E63" s="103"/>
      <c r="F63" s="103"/>
      <c r="G63" s="103"/>
      <c r="H63" s="103"/>
      <c r="I63" s="103"/>
      <c r="J63" s="103"/>
      <c r="K63" s="103"/>
      <c r="L63" s="160"/>
      <c r="M63" s="162"/>
      <c r="N63" s="157">
        <f>SUM(M59:M62)</f>
        <v>3900647.9150100001</v>
      </c>
      <c r="O63" s="10"/>
      <c r="P63" s="150"/>
      <c r="Q63" s="114"/>
      <c r="R63" s="10"/>
    </row>
    <row r="64" spans="1:18" ht="21.75" customHeight="1">
      <c r="A64" s="94">
        <v>7</v>
      </c>
      <c r="B64" s="254" t="s">
        <v>32</v>
      </c>
      <c r="C64" s="255"/>
      <c r="D64" s="255"/>
      <c r="E64" s="255"/>
      <c r="F64" s="255"/>
      <c r="G64" s="255"/>
      <c r="H64" s="255"/>
      <c r="I64" s="255"/>
      <c r="J64" s="255"/>
      <c r="K64" s="255"/>
      <c r="L64" s="255"/>
      <c r="M64" s="256"/>
      <c r="O64" s="10"/>
      <c r="P64" s="10"/>
      <c r="Q64" s="10"/>
      <c r="R64" s="10"/>
    </row>
    <row r="65" spans="1:18" s="1" customFormat="1" ht="22.5">
      <c r="A65" s="98">
        <v>1</v>
      </c>
      <c r="B65" s="93" t="s">
        <v>207</v>
      </c>
      <c r="C65" s="57" t="s">
        <v>171</v>
      </c>
      <c r="D65" s="152">
        <v>2</v>
      </c>
      <c r="E65" s="138">
        <f>29.74*D65</f>
        <v>59.48</v>
      </c>
      <c r="F65" s="138">
        <f>E65/31</f>
        <v>1.9187096774193548</v>
      </c>
      <c r="G65" s="138" t="s">
        <v>12</v>
      </c>
      <c r="H65" s="138" t="s">
        <v>12</v>
      </c>
      <c r="I65" s="138" t="s">
        <v>12</v>
      </c>
      <c r="J65" s="138" t="s">
        <v>12</v>
      </c>
      <c r="K65" s="138">
        <f t="shared" ref="K65:K66" si="39">E65</f>
        <v>59.48</v>
      </c>
      <c r="L65" s="152">
        <v>2259.41</v>
      </c>
      <c r="M65" s="154">
        <f>K65*L65</f>
        <v>134389.70679999999</v>
      </c>
      <c r="O65" s="10"/>
      <c r="P65" s="10"/>
      <c r="Q65" s="10"/>
      <c r="R65" s="10"/>
    </row>
    <row r="66" spans="1:18" s="1" customFormat="1" ht="22.5">
      <c r="A66" s="98">
        <v>2</v>
      </c>
      <c r="B66" s="93" t="s">
        <v>177</v>
      </c>
      <c r="C66" s="57" t="s">
        <v>171</v>
      </c>
      <c r="D66" s="152">
        <v>3.03</v>
      </c>
      <c r="E66" s="138">
        <f>29.74*D66</f>
        <v>90.112199999999987</v>
      </c>
      <c r="F66" s="138">
        <f>E66/31</f>
        <v>2.9068451612903221</v>
      </c>
      <c r="G66" s="138" t="s">
        <v>12</v>
      </c>
      <c r="H66" s="138" t="s">
        <v>12</v>
      </c>
      <c r="I66" s="138" t="s">
        <v>12</v>
      </c>
      <c r="J66" s="138" t="s">
        <v>12</v>
      </c>
      <c r="K66" s="138">
        <f t="shared" si="39"/>
        <v>90.112199999999987</v>
      </c>
      <c r="L66" s="152">
        <v>256.31</v>
      </c>
      <c r="M66" s="154">
        <f t="shared" ref="M66" si="40">K66*L66</f>
        <v>23096.657981999997</v>
      </c>
      <c r="O66" s="10"/>
      <c r="P66" s="10"/>
      <c r="Q66" s="10"/>
      <c r="R66" s="10"/>
    </row>
    <row r="67" spans="1:18">
      <c r="A67" s="98">
        <v>1</v>
      </c>
      <c r="B67" s="93" t="s">
        <v>174</v>
      </c>
      <c r="C67" s="57" t="s">
        <v>171</v>
      </c>
      <c r="D67" s="152">
        <v>3.81</v>
      </c>
      <c r="E67" s="138">
        <f>29.74*D67</f>
        <v>113.3094</v>
      </c>
      <c r="F67" s="138">
        <f>E67/31</f>
        <v>3.6551419354838708</v>
      </c>
      <c r="G67" s="138" t="s">
        <v>12</v>
      </c>
      <c r="H67" s="138" t="s">
        <v>12</v>
      </c>
      <c r="I67" s="138" t="s">
        <v>12</v>
      </c>
      <c r="J67" s="138" t="s">
        <v>12</v>
      </c>
      <c r="K67" s="138">
        <f t="shared" si="17"/>
        <v>113.3094</v>
      </c>
      <c r="L67" s="152">
        <v>5.38</v>
      </c>
      <c r="M67" s="154">
        <f>K67*L67</f>
        <v>609.60457199999996</v>
      </c>
      <c r="O67" s="10"/>
      <c r="P67" s="10"/>
      <c r="Q67" s="10"/>
      <c r="R67" s="10"/>
    </row>
    <row r="68" spans="1:18">
      <c r="A68" s="81"/>
      <c r="B68" s="75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N68" s="154">
        <f>M65+M66+M67</f>
        <v>158095.969354</v>
      </c>
      <c r="O68" s="10"/>
      <c r="P68" s="10"/>
      <c r="Q68" s="10"/>
      <c r="R68" s="10"/>
    </row>
    <row r="69" spans="1:18" ht="63">
      <c r="A69" s="58"/>
      <c r="B69" s="91" t="s">
        <v>182</v>
      </c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58">
        <f>SUM(M7:M67)</f>
        <v>30945279.748183314</v>
      </c>
      <c r="O69" s="10"/>
      <c r="P69" s="10"/>
      <c r="Q69" s="10"/>
      <c r="R69" s="10"/>
    </row>
    <row r="70" spans="1:18" ht="31.5">
      <c r="A70" s="58"/>
      <c r="B70" s="91" t="s">
        <v>183</v>
      </c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54">
        <f>M69*0.1</f>
        <v>3094527.9748183317</v>
      </c>
    </row>
    <row r="71" spans="1:18" ht="47.25">
      <c r="A71" s="58"/>
      <c r="B71" s="91" t="s">
        <v>184</v>
      </c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54">
        <f>M69*0.12</f>
        <v>3713433.5697819977</v>
      </c>
    </row>
    <row r="72" spans="1:18" ht="63">
      <c r="A72" s="58"/>
      <c r="B72" s="91" t="s">
        <v>185</v>
      </c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54">
        <f>SUM(M69:M71)</f>
        <v>37753241.29278364</v>
      </c>
    </row>
  </sheetData>
  <mergeCells count="16">
    <mergeCell ref="A2:M2"/>
    <mergeCell ref="A3:A5"/>
    <mergeCell ref="B3:B4"/>
    <mergeCell ref="C3:C4"/>
    <mergeCell ref="D3:D4"/>
    <mergeCell ref="E3:E4"/>
    <mergeCell ref="F3:F4"/>
    <mergeCell ref="G3:H3"/>
    <mergeCell ref="I3:J3"/>
    <mergeCell ref="B64:M64"/>
    <mergeCell ref="B6:M6"/>
    <mergeCell ref="B21:M21"/>
    <mergeCell ref="B49:M49"/>
    <mergeCell ref="B36:M36"/>
    <mergeCell ref="B53:M53"/>
    <mergeCell ref="B58:M58"/>
  </mergeCells>
  <pageMargins left="0.70866141732283472" right="0.70866141732283472" top="0.74803149606299213" bottom="0.9448818897637796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66"/>
  <sheetViews>
    <sheetView topLeftCell="A49" workbookViewId="0">
      <selection activeCell="E67" sqref="E67"/>
    </sheetView>
  </sheetViews>
  <sheetFormatPr defaultRowHeight="15"/>
  <cols>
    <col min="1" max="1" width="2.85546875" style="211" customWidth="1"/>
    <col min="2" max="2" width="35" style="173" customWidth="1"/>
    <col min="3" max="3" width="7.5703125" style="153" customWidth="1"/>
    <col min="4" max="4" width="10.7109375" style="153" customWidth="1"/>
    <col min="5" max="5" width="9.42578125" style="153" customWidth="1"/>
    <col min="6" max="6" width="6" style="153" customWidth="1"/>
    <col min="7" max="7" width="7.5703125" style="153" customWidth="1"/>
    <col min="8" max="8" width="10.85546875" style="153" customWidth="1"/>
    <col min="9" max="9" width="8" style="153" customWidth="1"/>
    <col min="10" max="10" width="9" style="153" customWidth="1"/>
    <col min="11" max="11" width="10.28515625" style="153" customWidth="1"/>
    <col min="12" max="12" width="12.28515625" style="153" customWidth="1"/>
    <col min="13" max="13" width="13.85546875" style="56" customWidth="1"/>
    <col min="14" max="14" width="9.140625" style="56"/>
    <col min="15" max="15" width="11.5703125" style="56" bestFit="1" customWidth="1"/>
    <col min="16" max="16384" width="9.140625" style="56"/>
  </cols>
  <sheetData>
    <row r="1" spans="1:17" ht="15" customHeight="1">
      <c r="A1" s="246" t="s">
        <v>218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17" ht="15" customHeight="1">
      <c r="A2" s="266" t="s">
        <v>51</v>
      </c>
      <c r="B2" s="267" t="s">
        <v>208</v>
      </c>
      <c r="C2" s="265" t="s">
        <v>348</v>
      </c>
      <c r="D2" s="265" t="s">
        <v>356</v>
      </c>
      <c r="E2" s="265"/>
      <c r="F2" s="265" t="s">
        <v>209</v>
      </c>
      <c r="G2" s="269" t="s">
        <v>379</v>
      </c>
      <c r="H2" s="269" t="s">
        <v>380</v>
      </c>
      <c r="I2" s="265" t="s">
        <v>355</v>
      </c>
      <c r="J2" s="265"/>
      <c r="K2" s="265" t="s">
        <v>354</v>
      </c>
      <c r="L2" s="265"/>
      <c r="M2" s="111"/>
      <c r="N2" s="111"/>
      <c r="O2" s="111"/>
      <c r="P2" s="111"/>
      <c r="Q2" s="111"/>
    </row>
    <row r="3" spans="1:17" ht="30.75" customHeight="1">
      <c r="A3" s="266"/>
      <c r="B3" s="267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166"/>
      <c r="N3" s="111"/>
      <c r="O3" s="111"/>
      <c r="P3" s="111"/>
      <c r="Q3" s="111"/>
    </row>
    <row r="4" spans="1:17" ht="42.75" customHeight="1">
      <c r="A4" s="266"/>
      <c r="B4" s="267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167">
        <v>1</v>
      </c>
      <c r="N4" s="167">
        <v>7004.96</v>
      </c>
      <c r="O4" s="111"/>
      <c r="P4" s="111"/>
      <c r="Q4" s="111"/>
    </row>
    <row r="5" spans="1:17" ht="37.5" customHeight="1">
      <c r="A5" s="266"/>
      <c r="B5" s="268"/>
      <c r="C5" s="242"/>
      <c r="D5" s="138" t="s">
        <v>351</v>
      </c>
      <c r="E5" s="141" t="s">
        <v>353</v>
      </c>
      <c r="F5" s="242"/>
      <c r="G5" s="242"/>
      <c r="H5" s="242"/>
      <c r="I5" s="138" t="s">
        <v>352</v>
      </c>
      <c r="J5" s="138" t="s">
        <v>353</v>
      </c>
      <c r="K5" s="138" t="s">
        <v>352</v>
      </c>
      <c r="L5" s="138" t="s">
        <v>353</v>
      </c>
      <c r="M5" s="167">
        <v>0.15434999999999999</v>
      </c>
      <c r="N5" s="167">
        <v>174</v>
      </c>
      <c r="O5" s="111">
        <f>N5/M5</f>
        <v>1127.3080660835765</v>
      </c>
      <c r="P5" s="111"/>
      <c r="Q5" s="111"/>
    </row>
    <row r="6" spans="1:17" s="140" customFormat="1" ht="20.25" customHeight="1">
      <c r="A6" s="171">
        <v>1</v>
      </c>
      <c r="B6" s="171">
        <v>2</v>
      </c>
      <c r="C6" s="138">
        <v>3</v>
      </c>
      <c r="D6" s="138">
        <v>4</v>
      </c>
      <c r="E6" s="138">
        <v>5</v>
      </c>
      <c r="F6" s="138">
        <v>6</v>
      </c>
      <c r="G6" s="138">
        <v>7</v>
      </c>
      <c r="H6" s="138">
        <v>8</v>
      </c>
      <c r="I6" s="138">
        <v>9</v>
      </c>
      <c r="J6" s="138">
        <v>10</v>
      </c>
      <c r="K6" s="138">
        <v>11</v>
      </c>
      <c r="L6" s="138">
        <v>12</v>
      </c>
      <c r="M6" s="1">
        <v>1</v>
      </c>
      <c r="N6" s="1"/>
      <c r="O6" s="111"/>
      <c r="P6" s="111"/>
      <c r="Q6" s="111"/>
    </row>
    <row r="7" spans="1:17" s="140" customFormat="1" ht="49.5" customHeight="1">
      <c r="A7" s="212">
        <v>1</v>
      </c>
      <c r="B7" s="172" t="s">
        <v>26</v>
      </c>
      <c r="C7" s="214">
        <v>61.74</v>
      </c>
      <c r="D7" s="214"/>
      <c r="E7" s="214"/>
      <c r="F7" s="203"/>
      <c r="G7" s="203"/>
      <c r="H7" s="203"/>
      <c r="I7" s="203"/>
      <c r="J7" s="203"/>
      <c r="K7" s="203"/>
      <c r="L7" s="203"/>
      <c r="M7" s="1">
        <v>1.76</v>
      </c>
      <c r="N7" s="1">
        <v>249.64</v>
      </c>
      <c r="O7" s="111"/>
      <c r="P7" s="111"/>
    </row>
    <row r="8" spans="1:17" s="140" customFormat="1" ht="27" customHeight="1">
      <c r="A8" s="171">
        <v>1</v>
      </c>
      <c r="B8" s="170" t="s">
        <v>349</v>
      </c>
      <c r="C8" s="215">
        <v>0.02</v>
      </c>
      <c r="D8" s="215">
        <v>875.62</v>
      </c>
      <c r="E8" s="215">
        <f>J8/8</f>
        <v>141.5192743764172</v>
      </c>
      <c r="F8" s="203">
        <v>1</v>
      </c>
      <c r="G8" s="203">
        <f>C8/8</f>
        <v>2.5000000000000001E-3</v>
      </c>
      <c r="H8" s="203">
        <f>61.74*G8</f>
        <v>0.15435000000000001</v>
      </c>
      <c r="I8" s="203">
        <f>D8*8</f>
        <v>7004.96</v>
      </c>
      <c r="J8" s="203">
        <f>L8/H8</f>
        <v>1132.1541950113376</v>
      </c>
      <c r="K8" s="203">
        <f>I8*H8</f>
        <v>1081.2155760000001</v>
      </c>
      <c r="L8" s="215">
        <f>N8*0.7</f>
        <v>174.74799999999999</v>
      </c>
      <c r="M8" s="151"/>
      <c r="N8" s="151">
        <v>249.64</v>
      </c>
      <c r="O8" s="111"/>
      <c r="P8" s="111"/>
    </row>
    <row r="9" spans="1:17" s="140" customFormat="1" ht="45" customHeight="1">
      <c r="A9" s="171">
        <v>2</v>
      </c>
      <c r="B9" s="170" t="s">
        <v>211</v>
      </c>
      <c r="C9" s="215">
        <v>0.16</v>
      </c>
      <c r="D9" s="215">
        <v>689.24</v>
      </c>
      <c r="E9" s="215">
        <f t="shared" ref="E9:E14" si="0">J9/8</f>
        <v>141.81972789115642</v>
      </c>
      <c r="F9" s="203">
        <v>1</v>
      </c>
      <c r="G9" s="203">
        <f t="shared" ref="G9:G14" si="1">C9/8</f>
        <v>0.02</v>
      </c>
      <c r="H9" s="203">
        <f t="shared" ref="H9:H14" si="2">61.74*G9</f>
        <v>1.2348000000000001</v>
      </c>
      <c r="I9" s="203">
        <f t="shared" ref="I9:I14" si="3">D9*8</f>
        <v>5513.92</v>
      </c>
      <c r="J9" s="203">
        <f>L9/H9</f>
        <v>1134.5578231292513</v>
      </c>
      <c r="K9" s="203">
        <f t="shared" ref="K9:K13" si="4">I9*H9</f>
        <v>6808.5884160000005</v>
      </c>
      <c r="L9" s="215">
        <f t="shared" ref="L9:L10" si="5">N9*0.7</f>
        <v>1400.9519999999998</v>
      </c>
      <c r="M9" s="151"/>
      <c r="N9" s="151">
        <v>2001.36</v>
      </c>
      <c r="O9" s="111"/>
      <c r="P9" s="111"/>
    </row>
    <row r="10" spans="1:17" s="140" customFormat="1" ht="45" customHeight="1">
      <c r="A10" s="171">
        <v>3</v>
      </c>
      <c r="B10" s="170" t="s">
        <v>215</v>
      </c>
      <c r="C10" s="215">
        <v>0.99</v>
      </c>
      <c r="D10" s="215">
        <v>1049.02</v>
      </c>
      <c r="E10" s="215">
        <f t="shared" si="0"/>
        <v>141.84326255754826</v>
      </c>
      <c r="F10" s="203">
        <v>1</v>
      </c>
      <c r="G10" s="203">
        <f t="shared" si="1"/>
        <v>0.12375</v>
      </c>
      <c r="H10" s="203">
        <f t="shared" si="2"/>
        <v>7.6403249999999998</v>
      </c>
      <c r="I10" s="203">
        <f t="shared" si="3"/>
        <v>8392.16</v>
      </c>
      <c r="J10" s="203">
        <f t="shared" ref="J10:J14" si="6">L10/H10</f>
        <v>1134.7461004603861</v>
      </c>
      <c r="K10" s="203">
        <f t="shared" si="4"/>
        <v>64118.829851999995</v>
      </c>
      <c r="L10" s="215">
        <f t="shared" si="5"/>
        <v>8669.8289999999997</v>
      </c>
      <c r="M10" s="151"/>
      <c r="N10" s="151">
        <v>12385.47</v>
      </c>
      <c r="O10" s="111"/>
      <c r="P10" s="111"/>
    </row>
    <row r="11" spans="1:17" s="140" customFormat="1" ht="17.25" customHeight="1">
      <c r="A11" s="171">
        <v>4</v>
      </c>
      <c r="B11" s="170" t="s">
        <v>216</v>
      </c>
      <c r="C11" s="215">
        <v>1.05</v>
      </c>
      <c r="D11" s="215">
        <v>3.67</v>
      </c>
      <c r="E11" s="215"/>
      <c r="F11" s="203">
        <v>1</v>
      </c>
      <c r="G11" s="203">
        <f t="shared" si="1"/>
        <v>0.13125000000000001</v>
      </c>
      <c r="H11" s="203">
        <f t="shared" si="2"/>
        <v>8.1033749999999998</v>
      </c>
      <c r="I11" s="203">
        <f t="shared" si="3"/>
        <v>29.36</v>
      </c>
      <c r="J11" s="203"/>
      <c r="K11" s="203">
        <f t="shared" si="4"/>
        <v>237.91508999999999</v>
      </c>
      <c r="L11" s="215"/>
      <c r="M11" s="151"/>
      <c r="N11" s="165"/>
      <c r="O11" s="111"/>
      <c r="P11" s="111"/>
    </row>
    <row r="12" spans="1:17" s="140" customFormat="1" ht="27" customHeight="1">
      <c r="A12" s="171">
        <v>5</v>
      </c>
      <c r="B12" s="170" t="s">
        <v>217</v>
      </c>
      <c r="C12" s="215">
        <v>0.43</v>
      </c>
      <c r="D12" s="215">
        <v>73.489999999999995</v>
      </c>
      <c r="E12" s="215"/>
      <c r="F12" s="203">
        <v>1</v>
      </c>
      <c r="G12" s="203">
        <f t="shared" si="1"/>
        <v>5.3749999999999999E-2</v>
      </c>
      <c r="H12" s="203">
        <f t="shared" si="2"/>
        <v>3.3185250000000002</v>
      </c>
      <c r="I12" s="203">
        <f t="shared" si="3"/>
        <v>587.91999999999996</v>
      </c>
      <c r="J12" s="203"/>
      <c r="K12" s="203">
        <f t="shared" si="4"/>
        <v>1951.0272179999999</v>
      </c>
      <c r="L12" s="215"/>
      <c r="M12" s="151"/>
      <c r="N12" s="165"/>
      <c r="O12" s="111"/>
      <c r="P12" s="111"/>
    </row>
    <row r="13" spans="1:17" s="140" customFormat="1" ht="16.5" customHeight="1">
      <c r="A13" s="171">
        <v>6</v>
      </c>
      <c r="B13" s="170" t="s">
        <v>350</v>
      </c>
      <c r="C13" s="215">
        <v>7.0000000000000007E-2</v>
      </c>
      <c r="D13" s="215">
        <v>7.51</v>
      </c>
      <c r="E13" s="215"/>
      <c r="F13" s="203">
        <v>1</v>
      </c>
      <c r="G13" s="203">
        <f t="shared" si="1"/>
        <v>8.7500000000000008E-3</v>
      </c>
      <c r="H13" s="203">
        <f t="shared" si="2"/>
        <v>0.54022500000000007</v>
      </c>
      <c r="I13" s="203">
        <f t="shared" si="3"/>
        <v>60.08</v>
      </c>
      <c r="J13" s="203"/>
      <c r="K13" s="203">
        <f t="shared" si="4"/>
        <v>32.456718000000002</v>
      </c>
      <c r="L13" s="215"/>
      <c r="M13" s="151"/>
      <c r="N13" s="165"/>
      <c r="O13" s="111"/>
      <c r="P13" s="111"/>
    </row>
    <row r="14" spans="1:17" s="140" customFormat="1" ht="24" customHeight="1">
      <c r="A14" s="171">
        <v>7</v>
      </c>
      <c r="B14" s="170" t="s">
        <v>212</v>
      </c>
      <c r="C14" s="215">
        <v>0.28000000000000003</v>
      </c>
      <c r="D14" s="215">
        <v>497.94</v>
      </c>
      <c r="E14" s="215">
        <f t="shared" si="0"/>
        <v>293.45764496274694</v>
      </c>
      <c r="F14" s="203">
        <v>1</v>
      </c>
      <c r="G14" s="203">
        <f t="shared" si="1"/>
        <v>3.5000000000000003E-2</v>
      </c>
      <c r="H14" s="203">
        <f t="shared" si="2"/>
        <v>2.1609000000000003</v>
      </c>
      <c r="I14" s="203">
        <f t="shared" si="3"/>
        <v>3983.52</v>
      </c>
      <c r="J14" s="203">
        <f t="shared" si="6"/>
        <v>2347.6611597019755</v>
      </c>
      <c r="K14" s="203">
        <f>I14*H14</f>
        <v>8607.9883680000003</v>
      </c>
      <c r="L14" s="215">
        <f>N14*0.7</f>
        <v>5073.0609999999997</v>
      </c>
      <c r="M14" s="169"/>
      <c r="N14" s="169">
        <v>7247.23</v>
      </c>
      <c r="O14" s="111"/>
      <c r="P14" s="111"/>
      <c r="Q14" s="114"/>
    </row>
    <row r="15" spans="1:17" ht="36">
      <c r="A15" s="212">
        <v>2</v>
      </c>
      <c r="B15" s="168" t="s">
        <v>27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111"/>
      <c r="N15" s="111"/>
    </row>
    <row r="16" spans="1:17" ht="24">
      <c r="A16" s="171">
        <v>1</v>
      </c>
      <c r="B16" s="170" t="s">
        <v>349</v>
      </c>
      <c r="C16" s="215">
        <v>7.0000000000000007E-2</v>
      </c>
      <c r="D16" s="215">
        <v>875.62</v>
      </c>
      <c r="E16" s="215">
        <f>J16/8</f>
        <v>141.86982510108032</v>
      </c>
      <c r="F16" s="203">
        <v>1</v>
      </c>
      <c r="G16" s="203">
        <f>C16/8</f>
        <v>8.7500000000000008E-3</v>
      </c>
      <c r="H16" s="203">
        <f>155.11*G16</f>
        <v>1.3572125000000002</v>
      </c>
      <c r="I16" s="203">
        <f>D16*8</f>
        <v>7004.96</v>
      </c>
      <c r="J16" s="203">
        <f>L16/H16</f>
        <v>1134.9586008086426</v>
      </c>
      <c r="K16" s="203">
        <f>I16*H16</f>
        <v>9507.219274000001</v>
      </c>
      <c r="L16" s="215">
        <v>1540.38</v>
      </c>
      <c r="M16" s="111"/>
      <c r="N16" s="111"/>
    </row>
    <row r="17" spans="1:14" ht="36">
      <c r="A17" s="171">
        <v>2</v>
      </c>
      <c r="B17" s="170" t="s">
        <v>211</v>
      </c>
      <c r="C17" s="215">
        <v>0.46</v>
      </c>
      <c r="D17" s="215">
        <v>689.24</v>
      </c>
      <c r="E17" s="215">
        <f t="shared" ref="E17:E22" si="7">J17/8</f>
        <v>141.83875118078893</v>
      </c>
      <c r="F17" s="203">
        <v>1</v>
      </c>
      <c r="G17" s="203">
        <f t="shared" ref="G17:G22" si="8">C17/8</f>
        <v>5.7500000000000002E-2</v>
      </c>
      <c r="H17" s="203">
        <f t="shared" ref="H17:H22" si="9">155.11*G17</f>
        <v>8.9188250000000018</v>
      </c>
      <c r="I17" s="203">
        <f t="shared" ref="I17:I22" si="10">D17*8</f>
        <v>5513.92</v>
      </c>
      <c r="J17" s="203">
        <f t="shared" ref="J17:J22" si="11">L17/H17</f>
        <v>1134.7100094463115</v>
      </c>
      <c r="K17" s="203">
        <f t="shared" ref="K17:K22" si="12">I17*H17</f>
        <v>49177.687544000008</v>
      </c>
      <c r="L17" s="215">
        <v>10120.280000000001</v>
      </c>
      <c r="M17" s="111"/>
      <c r="N17" s="111"/>
    </row>
    <row r="18" spans="1:14" ht="36">
      <c r="A18" s="171">
        <v>3</v>
      </c>
      <c r="B18" s="170" t="s">
        <v>215</v>
      </c>
      <c r="C18" s="215">
        <v>3.77</v>
      </c>
      <c r="D18" s="215">
        <v>1049.02</v>
      </c>
      <c r="E18" s="215">
        <f t="shared" si="7"/>
        <v>141.838862708368</v>
      </c>
      <c r="F18" s="203">
        <v>1</v>
      </c>
      <c r="G18" s="203">
        <f t="shared" si="8"/>
        <v>0.47125</v>
      </c>
      <c r="H18" s="203">
        <f t="shared" si="9"/>
        <v>73.095587500000008</v>
      </c>
      <c r="I18" s="203">
        <f t="shared" si="10"/>
        <v>8392.16</v>
      </c>
      <c r="J18" s="203">
        <f t="shared" si="11"/>
        <v>1134.710901666944</v>
      </c>
      <c r="K18" s="203">
        <f t="shared" si="12"/>
        <v>613429.86559400009</v>
      </c>
      <c r="L18" s="215">
        <v>82942.36</v>
      </c>
      <c r="M18" s="111"/>
      <c r="N18" s="111"/>
    </row>
    <row r="19" spans="1:14">
      <c r="A19" s="171">
        <v>4</v>
      </c>
      <c r="B19" s="170" t="s">
        <v>216</v>
      </c>
      <c r="C19" s="215">
        <v>0.2</v>
      </c>
      <c r="D19" s="215">
        <v>3.67</v>
      </c>
      <c r="E19" s="215"/>
      <c r="F19" s="203">
        <v>1</v>
      </c>
      <c r="G19" s="203">
        <f t="shared" si="8"/>
        <v>2.5000000000000001E-2</v>
      </c>
      <c r="H19" s="203">
        <f t="shared" si="9"/>
        <v>3.8777500000000007</v>
      </c>
      <c r="I19" s="203">
        <f t="shared" si="10"/>
        <v>29.36</v>
      </c>
      <c r="J19" s="203">
        <f t="shared" si="11"/>
        <v>0</v>
      </c>
      <c r="K19" s="203">
        <f t="shared" si="12"/>
        <v>113.85074000000002</v>
      </c>
      <c r="L19" s="215"/>
      <c r="M19" s="111"/>
      <c r="N19" s="111"/>
    </row>
    <row r="20" spans="1:14" ht="24">
      <c r="A20" s="171">
        <v>5</v>
      </c>
      <c r="B20" s="170" t="s">
        <v>217</v>
      </c>
      <c r="C20" s="215">
        <v>0.5</v>
      </c>
      <c r="D20" s="215">
        <v>73.489999999999995</v>
      </c>
      <c r="E20" s="215"/>
      <c r="F20" s="203">
        <v>1</v>
      </c>
      <c r="G20" s="203">
        <f t="shared" si="8"/>
        <v>6.25E-2</v>
      </c>
      <c r="H20" s="203">
        <f t="shared" si="9"/>
        <v>9.6943750000000009</v>
      </c>
      <c r="I20" s="203">
        <f t="shared" si="10"/>
        <v>587.91999999999996</v>
      </c>
      <c r="J20" s="203">
        <f t="shared" si="11"/>
        <v>0</v>
      </c>
      <c r="K20" s="203">
        <f t="shared" si="12"/>
        <v>5699.5169500000002</v>
      </c>
      <c r="L20" s="215"/>
      <c r="M20" s="111"/>
      <c r="N20" s="111"/>
    </row>
    <row r="21" spans="1:14">
      <c r="A21" s="171">
        <v>6</v>
      </c>
      <c r="B21" s="170" t="s">
        <v>350</v>
      </c>
      <c r="C21" s="215">
        <v>0.24</v>
      </c>
      <c r="D21" s="215">
        <v>7.51</v>
      </c>
      <c r="E21" s="215"/>
      <c r="F21" s="203">
        <v>1</v>
      </c>
      <c r="G21" s="203">
        <f t="shared" si="8"/>
        <v>0.03</v>
      </c>
      <c r="H21" s="203">
        <f t="shared" si="9"/>
        <v>4.6533000000000007</v>
      </c>
      <c r="I21" s="203">
        <f t="shared" si="10"/>
        <v>60.08</v>
      </c>
      <c r="J21" s="203">
        <f t="shared" si="11"/>
        <v>0</v>
      </c>
      <c r="K21" s="203">
        <f t="shared" si="12"/>
        <v>279.57026400000001</v>
      </c>
      <c r="L21" s="215"/>
      <c r="M21" s="111"/>
      <c r="N21" s="111"/>
    </row>
    <row r="22" spans="1:14" ht="24">
      <c r="A22" s="171">
        <v>7</v>
      </c>
      <c r="B22" s="170" t="s">
        <v>212</v>
      </c>
      <c r="C22" s="215">
        <v>0.76</v>
      </c>
      <c r="D22" s="215">
        <v>497.94</v>
      </c>
      <c r="E22" s="215">
        <f t="shared" si="7"/>
        <v>293.40103288328481</v>
      </c>
      <c r="F22" s="203">
        <v>1</v>
      </c>
      <c r="G22" s="203">
        <f t="shared" si="8"/>
        <v>9.5000000000000001E-2</v>
      </c>
      <c r="H22" s="203">
        <f t="shared" si="9"/>
        <v>14.735450000000002</v>
      </c>
      <c r="I22" s="203">
        <f t="shared" si="10"/>
        <v>3983.52</v>
      </c>
      <c r="J22" s="203">
        <f t="shared" si="11"/>
        <v>2347.2082630662785</v>
      </c>
      <c r="K22" s="203">
        <f t="shared" si="12"/>
        <v>58698.959784000006</v>
      </c>
      <c r="L22" s="215">
        <v>34587.17</v>
      </c>
      <c r="M22" s="111"/>
      <c r="N22" s="111"/>
    </row>
    <row r="23" spans="1:14" ht="24">
      <c r="A23" s="212">
        <v>3</v>
      </c>
      <c r="B23" s="168" t="s">
        <v>28</v>
      </c>
      <c r="C23" s="216">
        <v>1.42</v>
      </c>
      <c r="D23" s="216"/>
      <c r="E23" s="216"/>
      <c r="F23" s="216"/>
      <c r="G23" s="216"/>
      <c r="H23" s="216"/>
      <c r="I23" s="216"/>
      <c r="J23" s="216"/>
      <c r="K23" s="216"/>
      <c r="L23" s="216"/>
    </row>
    <row r="24" spans="1:14" ht="36">
      <c r="A24" s="171">
        <v>1</v>
      </c>
      <c r="B24" s="170" t="s">
        <v>219</v>
      </c>
      <c r="C24" s="215">
        <v>47.73</v>
      </c>
      <c r="D24" s="215">
        <v>1066.49</v>
      </c>
      <c r="E24" s="215">
        <f>J24/8</f>
        <v>141.84718619700607</v>
      </c>
      <c r="F24" s="203">
        <v>1</v>
      </c>
      <c r="G24" s="203">
        <f>C24/8</f>
        <v>5.9662499999999996</v>
      </c>
      <c r="H24" s="203">
        <f>1.42*G24</f>
        <v>8.4720749999999985</v>
      </c>
      <c r="I24" s="203">
        <f>D24*8</f>
        <v>8531.92</v>
      </c>
      <c r="J24" s="203">
        <f>L24/H24</f>
        <v>1134.7774895760485</v>
      </c>
      <c r="K24" s="203">
        <f>I24*H24</f>
        <v>72283.066133999993</v>
      </c>
      <c r="L24" s="215">
        <v>9613.92</v>
      </c>
    </row>
    <row r="25" spans="1:14" ht="36">
      <c r="A25" s="171">
        <v>2</v>
      </c>
      <c r="B25" s="170" t="s">
        <v>357</v>
      </c>
      <c r="C25" s="215">
        <v>119.5</v>
      </c>
      <c r="D25" s="215">
        <v>853.83</v>
      </c>
      <c r="E25" s="215">
        <f t="shared" ref="E25:E30" si="13">J25/8</f>
        <v>141.84000235723968</v>
      </c>
      <c r="F25" s="203">
        <v>1</v>
      </c>
      <c r="G25" s="203">
        <f>C25/8</f>
        <v>14.9375</v>
      </c>
      <c r="H25" s="203">
        <f t="shared" ref="H25:H30" si="14">1.42*G25</f>
        <v>21.21125</v>
      </c>
      <c r="I25" s="203">
        <f t="shared" ref="I25:I29" si="15">D25*8</f>
        <v>6830.64</v>
      </c>
      <c r="J25" s="203">
        <f t="shared" ref="J25:J30" si="16">L25/H25</f>
        <v>1134.7200188579175</v>
      </c>
      <c r="K25" s="203">
        <f t="shared" ref="K25:K30" si="17">I25*H25</f>
        <v>144886.41270000002</v>
      </c>
      <c r="L25" s="215">
        <v>24068.83</v>
      </c>
    </row>
    <row r="26" spans="1:14">
      <c r="A26" s="171">
        <v>3</v>
      </c>
      <c r="B26" s="170" t="s">
        <v>213</v>
      </c>
      <c r="C26" s="215">
        <v>1.0900000000000001</v>
      </c>
      <c r="D26" s="215">
        <v>729.95</v>
      </c>
      <c r="E26" s="215"/>
      <c r="F26" s="203">
        <v>1</v>
      </c>
      <c r="G26" s="203">
        <f t="shared" ref="G26:G30" si="18">C26/8</f>
        <v>0.13625000000000001</v>
      </c>
      <c r="H26" s="203">
        <f t="shared" si="14"/>
        <v>0.19347500000000001</v>
      </c>
      <c r="I26" s="203">
        <f t="shared" si="15"/>
        <v>5839.6</v>
      </c>
      <c r="J26" s="203"/>
      <c r="K26" s="203">
        <f t="shared" si="17"/>
        <v>1129.8166100000001</v>
      </c>
      <c r="L26" s="215"/>
    </row>
    <row r="27" spans="1:14" ht="24">
      <c r="A27" s="171">
        <v>4</v>
      </c>
      <c r="B27" s="170" t="s">
        <v>222</v>
      </c>
      <c r="C27" s="215">
        <v>417.4</v>
      </c>
      <c r="D27" s="215">
        <v>21.25</v>
      </c>
      <c r="E27" s="215"/>
      <c r="F27" s="203">
        <v>1</v>
      </c>
      <c r="G27" s="203">
        <f t="shared" si="18"/>
        <v>52.174999999999997</v>
      </c>
      <c r="H27" s="203">
        <f t="shared" si="14"/>
        <v>74.088499999999996</v>
      </c>
      <c r="I27" s="203">
        <f t="shared" si="15"/>
        <v>170</v>
      </c>
      <c r="J27" s="203"/>
      <c r="K27" s="203">
        <f t="shared" si="17"/>
        <v>12595.045</v>
      </c>
      <c r="L27" s="215"/>
    </row>
    <row r="28" spans="1:14" ht="36">
      <c r="A28" s="171">
        <v>5</v>
      </c>
      <c r="B28" s="170" t="s">
        <v>225</v>
      </c>
      <c r="C28" s="215">
        <v>309.44</v>
      </c>
      <c r="D28" s="215">
        <v>308.7</v>
      </c>
      <c r="E28" s="215">
        <f t="shared" si="13"/>
        <v>105.6188507726816</v>
      </c>
      <c r="F28" s="203">
        <v>1</v>
      </c>
      <c r="G28" s="203">
        <f t="shared" si="18"/>
        <v>38.68</v>
      </c>
      <c r="H28" s="203">
        <f t="shared" si="14"/>
        <v>54.925599999999996</v>
      </c>
      <c r="I28" s="203">
        <f t="shared" si="15"/>
        <v>2469.6</v>
      </c>
      <c r="J28" s="203">
        <f t="shared" si="16"/>
        <v>844.95080618145278</v>
      </c>
      <c r="K28" s="203">
        <f t="shared" si="17"/>
        <v>135644.26175999999</v>
      </c>
      <c r="L28" s="215">
        <v>46409.43</v>
      </c>
    </row>
    <row r="29" spans="1:14">
      <c r="A29" s="171">
        <v>6</v>
      </c>
      <c r="B29" s="170" t="s">
        <v>220</v>
      </c>
      <c r="C29" s="215">
        <v>309.42</v>
      </c>
      <c r="D29" s="215">
        <v>38.57</v>
      </c>
      <c r="E29" s="215"/>
      <c r="F29" s="203">
        <v>1</v>
      </c>
      <c r="G29" s="203">
        <f t="shared" si="18"/>
        <v>38.677500000000002</v>
      </c>
      <c r="H29" s="203">
        <f t="shared" si="14"/>
        <v>54.922049999999999</v>
      </c>
      <c r="I29" s="203">
        <f t="shared" si="15"/>
        <v>308.56</v>
      </c>
      <c r="J29" s="203"/>
      <c r="K29" s="203">
        <f t="shared" si="17"/>
        <v>16946.747747999998</v>
      </c>
      <c r="L29" s="215"/>
    </row>
    <row r="30" spans="1:14" ht="24">
      <c r="A30" s="171">
        <v>7</v>
      </c>
      <c r="B30" s="170" t="s">
        <v>212</v>
      </c>
      <c r="C30" s="215">
        <v>23.79</v>
      </c>
      <c r="D30" s="215">
        <v>497.94</v>
      </c>
      <c r="E30" s="215">
        <f t="shared" si="13"/>
        <v>293.39437211753074</v>
      </c>
      <c r="F30" s="203">
        <v>1</v>
      </c>
      <c r="G30" s="203">
        <f t="shared" si="18"/>
        <v>2.9737499999999999</v>
      </c>
      <c r="H30" s="203">
        <f t="shared" si="14"/>
        <v>4.2227249999999996</v>
      </c>
      <c r="I30" s="203">
        <f>D30*8</f>
        <v>3983.52</v>
      </c>
      <c r="J30" s="203">
        <f t="shared" si="16"/>
        <v>2347.1549769402459</v>
      </c>
      <c r="K30" s="203">
        <f t="shared" si="17"/>
        <v>16821.309491999997</v>
      </c>
      <c r="L30" s="215">
        <v>9911.39</v>
      </c>
    </row>
    <row r="31" spans="1:14" ht="48">
      <c r="A31" s="171">
        <v>4</v>
      </c>
      <c r="B31" s="168" t="s">
        <v>29</v>
      </c>
      <c r="C31" s="216">
        <v>4.51</v>
      </c>
      <c r="D31" s="216"/>
      <c r="E31" s="216"/>
      <c r="F31" s="216"/>
      <c r="G31" s="216"/>
      <c r="H31" s="216"/>
      <c r="I31" s="216"/>
      <c r="J31" s="216"/>
      <c r="K31" s="216"/>
      <c r="L31" s="216"/>
    </row>
    <row r="32" spans="1:14" ht="36">
      <c r="A32" s="171">
        <v>1</v>
      </c>
      <c r="B32" s="170" t="s">
        <v>221</v>
      </c>
      <c r="C32" s="215">
        <v>165.59</v>
      </c>
      <c r="D32" s="215">
        <v>2336.8200000000002</v>
      </c>
      <c r="E32" s="215">
        <f t="shared" ref="E32" si="19">J32/8</f>
        <v>303.35963227103412</v>
      </c>
      <c r="F32" s="203">
        <v>1</v>
      </c>
      <c r="G32" s="203">
        <f t="shared" ref="G32" si="20">C32/8</f>
        <v>20.69875</v>
      </c>
      <c r="H32" s="203">
        <f>4.51*G32</f>
        <v>93.351362499999993</v>
      </c>
      <c r="I32" s="203">
        <f t="shared" ref="I32" si="21">D32*8</f>
        <v>18694.560000000001</v>
      </c>
      <c r="J32" s="203">
        <f t="shared" ref="J32" si="22">L32/H32</f>
        <v>2426.8770581682729</v>
      </c>
      <c r="K32" s="203">
        <f>I32*H32</f>
        <v>1745162.6473379999</v>
      </c>
      <c r="L32" s="215">
        <v>226552.28</v>
      </c>
    </row>
    <row r="33" spans="1:12" ht="24">
      <c r="A33" s="171">
        <v>2</v>
      </c>
      <c r="B33" s="170" t="s">
        <v>222</v>
      </c>
      <c r="C33" s="215">
        <v>49.08</v>
      </c>
      <c r="D33" s="215">
        <v>21.25</v>
      </c>
      <c r="E33" s="215">
        <f t="shared" ref="E33:E36" si="23">J33/8</f>
        <v>0</v>
      </c>
      <c r="F33" s="203">
        <v>1</v>
      </c>
      <c r="G33" s="203">
        <f t="shared" ref="G33:G36" si="24">C33/8</f>
        <v>6.1349999999999998</v>
      </c>
      <c r="H33" s="203">
        <f t="shared" ref="H33:H36" si="25">4.51*G33</f>
        <v>27.668849999999999</v>
      </c>
      <c r="I33" s="203">
        <f>D33*8</f>
        <v>170</v>
      </c>
      <c r="J33" s="203">
        <f t="shared" ref="J33:J36" si="26">L33/H33</f>
        <v>0</v>
      </c>
      <c r="K33" s="203">
        <f t="shared" ref="K33:K36" si="27">I33*H33</f>
        <v>4703.7044999999998</v>
      </c>
      <c r="L33" s="215"/>
    </row>
    <row r="34" spans="1:12" ht="24">
      <c r="A34" s="171">
        <v>3</v>
      </c>
      <c r="B34" s="170" t="s">
        <v>212</v>
      </c>
      <c r="C34" s="215">
        <v>1.9</v>
      </c>
      <c r="D34" s="215">
        <v>497.94</v>
      </c>
      <c r="E34" s="215">
        <f t="shared" si="23"/>
        <v>293.44380907923914</v>
      </c>
      <c r="F34" s="203">
        <v>1</v>
      </c>
      <c r="G34" s="203">
        <f t="shared" si="24"/>
        <v>0.23749999999999999</v>
      </c>
      <c r="H34" s="203">
        <f t="shared" si="25"/>
        <v>1.0711249999999999</v>
      </c>
      <c r="I34" s="203">
        <f>D34*8</f>
        <v>3983.52</v>
      </c>
      <c r="J34" s="203">
        <f t="shared" si="26"/>
        <v>2347.5504726339132</v>
      </c>
      <c r="K34" s="203">
        <f t="shared" si="27"/>
        <v>4266.8478599999999</v>
      </c>
      <c r="L34" s="215">
        <v>2514.52</v>
      </c>
    </row>
    <row r="35" spans="1:12">
      <c r="A35" s="171">
        <v>4</v>
      </c>
      <c r="B35" s="170" t="s">
        <v>358</v>
      </c>
      <c r="C35" s="215">
        <v>31.98</v>
      </c>
      <c r="D35" s="215">
        <v>746.43</v>
      </c>
      <c r="E35" s="215">
        <f t="shared" si="23"/>
        <v>337.11050004922703</v>
      </c>
      <c r="F35" s="203">
        <v>1</v>
      </c>
      <c r="G35" s="203">
        <f t="shared" si="24"/>
        <v>3.9975000000000001</v>
      </c>
      <c r="H35" s="203">
        <f t="shared" si="25"/>
        <v>18.028724999999998</v>
      </c>
      <c r="I35" s="203">
        <f t="shared" ref="I35:I36" si="28">D35*8</f>
        <v>5971.44</v>
      </c>
      <c r="J35" s="203">
        <f t="shared" si="26"/>
        <v>2696.8840003938162</v>
      </c>
      <c r="K35" s="203">
        <f t="shared" si="27"/>
        <v>107657.44961399998</v>
      </c>
      <c r="L35" s="215">
        <v>48621.38</v>
      </c>
    </row>
    <row r="36" spans="1:12">
      <c r="A36" s="171">
        <v>5</v>
      </c>
      <c r="B36" s="170" t="s">
        <v>223</v>
      </c>
      <c r="C36" s="215">
        <v>31.97</v>
      </c>
      <c r="D36" s="215">
        <v>212.98</v>
      </c>
      <c r="E36" s="215">
        <f t="shared" si="23"/>
        <v>0</v>
      </c>
      <c r="F36" s="203">
        <v>1</v>
      </c>
      <c r="G36" s="203">
        <f t="shared" si="24"/>
        <v>3.9962499999999999</v>
      </c>
      <c r="H36" s="203">
        <f t="shared" si="25"/>
        <v>18.023087499999999</v>
      </c>
      <c r="I36" s="203">
        <f t="shared" si="28"/>
        <v>1703.84</v>
      </c>
      <c r="J36" s="203">
        <f t="shared" si="26"/>
        <v>0</v>
      </c>
      <c r="K36" s="203">
        <f t="shared" si="27"/>
        <v>30708.457405999998</v>
      </c>
      <c r="L36" s="215"/>
    </row>
    <row r="37" spans="1:12" ht="24">
      <c r="A37" s="171">
        <v>5</v>
      </c>
      <c r="B37" s="168" t="s">
        <v>30</v>
      </c>
      <c r="C37" s="216">
        <v>566.09</v>
      </c>
      <c r="D37" s="216"/>
      <c r="E37" s="216"/>
      <c r="F37" s="216"/>
      <c r="G37" s="216"/>
      <c r="H37" s="216"/>
      <c r="I37" s="216"/>
      <c r="J37" s="216"/>
      <c r="K37" s="216"/>
      <c r="L37" s="216"/>
    </row>
    <row r="38" spans="1:12" ht="36">
      <c r="A38" s="171">
        <v>1</v>
      </c>
      <c r="B38" s="170" t="s">
        <v>210</v>
      </c>
      <c r="C38" s="215">
        <v>0.9</v>
      </c>
      <c r="D38" s="215">
        <v>773.88</v>
      </c>
      <c r="E38" s="215">
        <f t="shared" ref="E38" si="29">J38/8</f>
        <v>121.34976574200019</v>
      </c>
      <c r="F38" s="203">
        <v>1</v>
      </c>
      <c r="G38" s="203">
        <f t="shared" ref="G38" si="30">C38/8</f>
        <v>0.1125</v>
      </c>
      <c r="H38" s="203">
        <f>566.09*G38</f>
        <v>63.685125000000006</v>
      </c>
      <c r="I38" s="203">
        <f t="shared" ref="I38" si="31">D38*8</f>
        <v>6191.04</v>
      </c>
      <c r="J38" s="203">
        <f>L38/H38</f>
        <v>970.7981259360015</v>
      </c>
      <c r="K38" s="203">
        <f>I38*H38</f>
        <v>394277.15628000005</v>
      </c>
      <c r="L38" s="215">
        <v>61825.4</v>
      </c>
    </row>
    <row r="39" spans="1:12">
      <c r="A39" s="171">
        <v>2</v>
      </c>
      <c r="B39" s="170" t="s">
        <v>213</v>
      </c>
      <c r="C39" s="215">
        <v>0.17</v>
      </c>
      <c r="D39" s="215">
        <v>729.95</v>
      </c>
      <c r="E39" s="215">
        <f t="shared" ref="E39" si="32">J39/8</f>
        <v>0</v>
      </c>
      <c r="F39" s="203">
        <v>1</v>
      </c>
      <c r="G39" s="203">
        <f t="shared" ref="G39" si="33">C39/8</f>
        <v>2.1250000000000002E-2</v>
      </c>
      <c r="H39" s="203">
        <f>566.09*G39</f>
        <v>12.029412500000001</v>
      </c>
      <c r="I39" s="203">
        <f t="shared" ref="I39" si="34">D39*8</f>
        <v>5839.6</v>
      </c>
      <c r="J39" s="203">
        <f t="shared" ref="J39" si="35">L39/H39</f>
        <v>0</v>
      </c>
      <c r="K39" s="203">
        <f t="shared" ref="K39" si="36">I39*H39</f>
        <v>70246.957235000009</v>
      </c>
      <c r="L39" s="215"/>
    </row>
    <row r="40" spans="1:12" ht="84">
      <c r="A40" s="212">
        <v>6</v>
      </c>
      <c r="B40" s="168" t="s">
        <v>31</v>
      </c>
      <c r="C40" s="216">
        <v>98.7</v>
      </c>
      <c r="D40" s="216"/>
      <c r="E40" s="216"/>
      <c r="F40" s="216"/>
      <c r="G40" s="216"/>
      <c r="H40" s="216"/>
      <c r="I40" s="216"/>
      <c r="J40" s="216"/>
      <c r="K40" s="216"/>
      <c r="L40" s="216"/>
    </row>
    <row r="41" spans="1:12" ht="36">
      <c r="A41" s="171">
        <v>1</v>
      </c>
      <c r="B41" s="170" t="s">
        <v>210</v>
      </c>
      <c r="C41" s="215">
        <v>0.39</v>
      </c>
      <c r="D41" s="215">
        <v>773.88</v>
      </c>
      <c r="E41" s="215">
        <f t="shared" ref="E41" si="37">J41/8</f>
        <v>121.34050346816304</v>
      </c>
      <c r="F41" s="203">
        <v>1</v>
      </c>
      <c r="G41" s="203">
        <f t="shared" ref="G41" si="38">C41/8</f>
        <v>4.8750000000000002E-2</v>
      </c>
      <c r="H41" s="203">
        <f>98.7*G41</f>
        <v>4.8116250000000003</v>
      </c>
      <c r="I41" s="203">
        <f t="shared" ref="I41" si="39">D41*8</f>
        <v>6191.04</v>
      </c>
      <c r="J41" s="203">
        <f>L41/H41</f>
        <v>970.72402774530428</v>
      </c>
      <c r="K41" s="203">
        <f>I41*H41</f>
        <v>29788.96284</v>
      </c>
      <c r="L41" s="215">
        <v>4670.76</v>
      </c>
    </row>
    <row r="42" spans="1:12" ht="36">
      <c r="A42" s="171">
        <v>2</v>
      </c>
      <c r="B42" s="170" t="s">
        <v>211</v>
      </c>
      <c r="C42" s="215">
        <v>0.26</v>
      </c>
      <c r="D42" s="215">
        <v>689.24</v>
      </c>
      <c r="E42" s="215">
        <f t="shared" ref="E42:E45" si="40">J42/8</f>
        <v>141.82877406281662</v>
      </c>
      <c r="F42" s="203">
        <v>1</v>
      </c>
      <c r="G42" s="203">
        <f t="shared" ref="G42:G45" si="41">C42/8</f>
        <v>3.2500000000000001E-2</v>
      </c>
      <c r="H42" s="203">
        <f t="shared" ref="H42:H45" si="42">98.7*G42</f>
        <v>3.2077500000000003</v>
      </c>
      <c r="I42" s="203">
        <f t="shared" ref="I42:I45" si="43">D42*8</f>
        <v>5513.92</v>
      </c>
      <c r="J42" s="203">
        <f t="shared" ref="J42:J45" si="44">L42/H42</f>
        <v>1134.630192502533</v>
      </c>
      <c r="K42" s="203">
        <f t="shared" ref="K42:K45" si="45">I42*H42</f>
        <v>17687.276880000001</v>
      </c>
      <c r="L42" s="215">
        <v>3639.61</v>
      </c>
    </row>
    <row r="43" spans="1:12">
      <c r="A43" s="171">
        <v>3</v>
      </c>
      <c r="B43" s="170" t="s">
        <v>213</v>
      </c>
      <c r="C43" s="215">
        <v>0.1</v>
      </c>
      <c r="D43" s="215">
        <v>729.95</v>
      </c>
      <c r="E43" s="215"/>
      <c r="F43" s="203">
        <v>1</v>
      </c>
      <c r="G43" s="203">
        <f t="shared" si="41"/>
        <v>1.2500000000000001E-2</v>
      </c>
      <c r="H43" s="203">
        <f t="shared" si="42"/>
        <v>1.2337500000000001</v>
      </c>
      <c r="I43" s="203">
        <f t="shared" si="43"/>
        <v>5839.6</v>
      </c>
      <c r="J43" s="203"/>
      <c r="K43" s="203">
        <f t="shared" si="45"/>
        <v>7204.6065000000008</v>
      </c>
      <c r="L43" s="215"/>
    </row>
    <row r="44" spans="1:12">
      <c r="A44" s="171">
        <v>4</v>
      </c>
      <c r="B44" s="170" t="s">
        <v>214</v>
      </c>
      <c r="C44" s="215">
        <v>10.24</v>
      </c>
      <c r="D44" s="215">
        <v>179.1</v>
      </c>
      <c r="E44" s="215"/>
      <c r="F44" s="203">
        <v>1</v>
      </c>
      <c r="G44" s="203">
        <f t="shared" si="41"/>
        <v>1.28</v>
      </c>
      <c r="H44" s="203">
        <f t="shared" si="42"/>
        <v>126.33600000000001</v>
      </c>
      <c r="I44" s="203">
        <f t="shared" si="43"/>
        <v>1432.8</v>
      </c>
      <c r="J44" s="203"/>
      <c r="K44" s="203">
        <f t="shared" si="45"/>
        <v>181014.22080000001</v>
      </c>
      <c r="L44" s="215"/>
    </row>
    <row r="45" spans="1:12" ht="24">
      <c r="A45" s="171">
        <v>5</v>
      </c>
      <c r="B45" s="170" t="s">
        <v>212</v>
      </c>
      <c r="C45" s="215">
        <v>0.37</v>
      </c>
      <c r="D45" s="215">
        <v>497.94</v>
      </c>
      <c r="E45" s="215">
        <f t="shared" si="40"/>
        <v>293.41794682220217</v>
      </c>
      <c r="F45" s="203">
        <v>1</v>
      </c>
      <c r="G45" s="203">
        <f t="shared" si="41"/>
        <v>4.6249999999999999E-2</v>
      </c>
      <c r="H45" s="203">
        <f t="shared" si="42"/>
        <v>4.5648749999999998</v>
      </c>
      <c r="I45" s="203">
        <f t="shared" si="43"/>
        <v>3983.52</v>
      </c>
      <c r="J45" s="203">
        <f t="shared" si="44"/>
        <v>2347.3435745776173</v>
      </c>
      <c r="K45" s="203">
        <f t="shared" si="45"/>
        <v>18184.270860000001</v>
      </c>
      <c r="L45" s="215">
        <v>10715.33</v>
      </c>
    </row>
    <row r="46" spans="1:12" ht="24">
      <c r="A46" s="213">
        <v>7</v>
      </c>
      <c r="B46" s="164" t="s">
        <v>32</v>
      </c>
      <c r="C46" s="216">
        <v>29.74</v>
      </c>
      <c r="D46" s="216"/>
      <c r="E46" s="216"/>
      <c r="F46" s="216"/>
      <c r="G46" s="216"/>
      <c r="H46" s="216"/>
      <c r="I46" s="216"/>
      <c r="J46" s="216"/>
      <c r="K46" s="216"/>
      <c r="L46" s="216"/>
    </row>
    <row r="47" spans="1:12">
      <c r="A47" s="171">
        <v>1</v>
      </c>
      <c r="B47" s="170" t="s">
        <v>213</v>
      </c>
      <c r="C47" s="215">
        <v>1.01</v>
      </c>
      <c r="D47" s="215">
        <v>729.95</v>
      </c>
      <c r="E47" s="215">
        <f t="shared" ref="E47" si="46">J47/8</f>
        <v>0</v>
      </c>
      <c r="F47" s="203">
        <v>1</v>
      </c>
      <c r="G47" s="203">
        <f t="shared" ref="G47" si="47">C47/8</f>
        <v>0.12625</v>
      </c>
      <c r="H47" s="203">
        <f>29.74*G47</f>
        <v>3.7546749999999998</v>
      </c>
      <c r="I47" s="203">
        <f t="shared" ref="I47" si="48">D47*8</f>
        <v>5839.6</v>
      </c>
      <c r="J47" s="203">
        <f t="shared" ref="J47" si="49">L47/H47</f>
        <v>0</v>
      </c>
      <c r="K47" s="203">
        <f t="shared" ref="K47" si="50">I47*H47</f>
        <v>21925.80013</v>
      </c>
      <c r="L47" s="215"/>
    </row>
    <row r="48" spans="1:12">
      <c r="A48" s="171">
        <v>2</v>
      </c>
      <c r="B48" s="170" t="s">
        <v>224</v>
      </c>
      <c r="C48" s="215">
        <v>0.73</v>
      </c>
      <c r="D48" s="215">
        <v>146.68</v>
      </c>
      <c r="E48" s="215">
        <f t="shared" ref="E48:E49" si="51">J48/8</f>
        <v>93.78909452699655</v>
      </c>
      <c r="F48" s="203">
        <v>1</v>
      </c>
      <c r="G48" s="203">
        <f t="shared" ref="G48:G50" si="52">C48/8</f>
        <v>9.1249999999999998E-2</v>
      </c>
      <c r="H48" s="203">
        <f t="shared" ref="H48:H50" si="53">29.74*G48</f>
        <v>2.7137749999999996</v>
      </c>
      <c r="I48" s="203">
        <f t="shared" ref="I48:I50" si="54">D48*8</f>
        <v>1173.44</v>
      </c>
      <c r="J48" s="203">
        <f t="shared" ref="J48:J49" si="55">L48/H48</f>
        <v>750.3127562159724</v>
      </c>
      <c r="K48" s="203">
        <f t="shared" ref="K48:K49" si="56">I48*H48</f>
        <v>3184.4521359999999</v>
      </c>
      <c r="L48" s="215">
        <v>2036.18</v>
      </c>
    </row>
    <row r="49" spans="1:12" ht="36">
      <c r="A49" s="171">
        <v>3</v>
      </c>
      <c r="B49" s="170" t="s">
        <v>225</v>
      </c>
      <c r="C49" s="215">
        <v>0.86</v>
      </c>
      <c r="D49" s="215">
        <v>308.7</v>
      </c>
      <c r="E49" s="215">
        <f t="shared" si="51"/>
        <v>105.63488215698848</v>
      </c>
      <c r="F49" s="203">
        <v>1</v>
      </c>
      <c r="G49" s="203">
        <f t="shared" si="52"/>
        <v>0.1075</v>
      </c>
      <c r="H49" s="203">
        <f t="shared" si="53"/>
        <v>3.1970499999999999</v>
      </c>
      <c r="I49" s="203">
        <f t="shared" si="54"/>
        <v>2469.6</v>
      </c>
      <c r="J49" s="203">
        <f t="shared" si="55"/>
        <v>845.07905725590786</v>
      </c>
      <c r="K49" s="203">
        <f t="shared" si="56"/>
        <v>7895.4346799999994</v>
      </c>
      <c r="L49" s="204">
        <v>2701.76</v>
      </c>
    </row>
    <row r="50" spans="1:12">
      <c r="A50" s="171">
        <v>4</v>
      </c>
      <c r="B50" s="170" t="s">
        <v>359</v>
      </c>
      <c r="C50" s="215">
        <v>3.27</v>
      </c>
      <c r="D50" s="215">
        <v>1.67</v>
      </c>
      <c r="E50" s="215"/>
      <c r="F50" s="203">
        <v>1</v>
      </c>
      <c r="G50" s="203">
        <f t="shared" si="52"/>
        <v>0.40875</v>
      </c>
      <c r="H50" s="203">
        <f t="shared" si="53"/>
        <v>12.156224999999999</v>
      </c>
      <c r="I50" s="203">
        <f t="shared" si="54"/>
        <v>13.36</v>
      </c>
      <c r="J50" s="203"/>
      <c r="K50" s="203">
        <f>I50*H50</f>
        <v>162.40716599999999</v>
      </c>
      <c r="L50" s="204"/>
    </row>
    <row r="51" spans="1:12">
      <c r="J51" s="211"/>
      <c r="K51" s="211"/>
      <c r="L51" s="211"/>
    </row>
    <row r="52" spans="1:12" ht="31.5">
      <c r="J52" s="217" t="s">
        <v>360</v>
      </c>
      <c r="K52" s="147" t="s">
        <v>352</v>
      </c>
      <c r="L52" s="147" t="s">
        <v>353</v>
      </c>
    </row>
    <row r="53" spans="1:12" ht="15.75">
      <c r="K53" s="217">
        <f>SUM(K8:K50)</f>
        <v>3864122.0030570002</v>
      </c>
      <c r="L53" s="217">
        <f>SUM(L8:L50)</f>
        <v>597789.57000000007</v>
      </c>
    </row>
    <row r="54" spans="1:12" ht="15.75">
      <c r="J54" s="217"/>
      <c r="K54" s="217"/>
      <c r="L54" s="217"/>
    </row>
    <row r="66" spans="5:5">
      <c r="E66" s="153">
        <f>2206+1286+597</f>
        <v>4089</v>
      </c>
    </row>
  </sheetData>
  <mergeCells count="10">
    <mergeCell ref="A1:L1"/>
    <mergeCell ref="D2:E4"/>
    <mergeCell ref="I2:J4"/>
    <mergeCell ref="K2:L4"/>
    <mergeCell ref="A2:A5"/>
    <mergeCell ref="B2:B5"/>
    <mergeCell ref="F2:F5"/>
    <mergeCell ref="G2:G5"/>
    <mergeCell ref="H2:H5"/>
    <mergeCell ref="C2:C5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60"/>
  <sheetViews>
    <sheetView topLeftCell="A40" workbookViewId="0">
      <selection activeCell="B60" sqref="B60"/>
    </sheetView>
  </sheetViews>
  <sheetFormatPr defaultRowHeight="15"/>
  <cols>
    <col min="1" max="1" width="39.5703125" style="118" customWidth="1"/>
    <col min="2" max="6" width="18.140625" style="118" customWidth="1"/>
    <col min="7" max="7" width="39.42578125" style="118" customWidth="1"/>
    <col min="8" max="8" width="18.140625" style="118" customWidth="1"/>
    <col min="9" max="9" width="19.42578125" style="118" customWidth="1"/>
    <col min="10" max="16384" width="9.140625" style="118"/>
  </cols>
  <sheetData>
    <row r="1" spans="1:4" ht="15" customHeight="1">
      <c r="A1" s="99" t="s">
        <v>235</v>
      </c>
      <c r="B1" s="131">
        <v>4674814.1381999999</v>
      </c>
    </row>
    <row r="2" spans="1:4" ht="15" customHeight="1">
      <c r="A2" s="99" t="s">
        <v>237</v>
      </c>
      <c r="B2" s="132">
        <v>70694696.367947832</v>
      </c>
    </row>
    <row r="3" spans="1:4" ht="15" customHeight="1">
      <c r="A3" s="120" t="s">
        <v>56</v>
      </c>
      <c r="B3" s="132">
        <v>46016605.842613198</v>
      </c>
    </row>
    <row r="4" spans="1:4" ht="15" customHeight="1">
      <c r="A4" s="99" t="s">
        <v>240</v>
      </c>
      <c r="B4" s="133">
        <f>B3/B2</f>
        <v>0.65092019920572997</v>
      </c>
    </row>
    <row r="5" spans="1:4" ht="15" customHeight="1">
      <c r="A5" s="99" t="s">
        <v>242</v>
      </c>
      <c r="B5" s="132">
        <f>B1*B4</f>
        <v>3042930.950086907</v>
      </c>
    </row>
    <row r="6" spans="1:4" ht="15" customHeight="1">
      <c r="A6" s="121">
        <v>0.65</v>
      </c>
      <c r="B6" s="130">
        <f>B5*0.65</f>
        <v>1977905.1175564895</v>
      </c>
    </row>
    <row r="7" spans="1:4" ht="15" customHeight="1">
      <c r="A7" s="121">
        <v>0.2</v>
      </c>
      <c r="B7" s="130">
        <f>B5*0.2</f>
        <v>608586.19001738145</v>
      </c>
    </row>
    <row r="8" spans="1:4" ht="15" customHeight="1">
      <c r="A8" s="121">
        <v>0.1</v>
      </c>
      <c r="B8" s="130">
        <f>B5*0.1</f>
        <v>304293.09500869073</v>
      </c>
    </row>
    <row r="9" spans="1:4" ht="15" customHeight="1">
      <c r="A9" s="121">
        <v>0.05</v>
      </c>
      <c r="B9" s="130">
        <f>B5*0.05</f>
        <v>152146.54750434536</v>
      </c>
    </row>
    <row r="10" spans="1:4" ht="15" customHeight="1"/>
    <row r="11" spans="1:4">
      <c r="A11" s="270" t="s">
        <v>262</v>
      </c>
      <c r="B11" s="270"/>
      <c r="C11" s="270"/>
      <c r="D11" s="218"/>
    </row>
    <row r="12" spans="1:4">
      <c r="A12" s="144" t="s">
        <v>226</v>
      </c>
      <c r="B12" s="144" t="s">
        <v>227</v>
      </c>
      <c r="C12" s="144" t="s">
        <v>228</v>
      </c>
      <c r="D12" s="99"/>
    </row>
    <row r="13" spans="1:4">
      <c r="A13" s="119" t="s">
        <v>229</v>
      </c>
      <c r="B13" s="144"/>
      <c r="C13" s="144">
        <v>65</v>
      </c>
      <c r="D13" s="99"/>
    </row>
    <row r="14" spans="1:4">
      <c r="A14" s="119" t="s">
        <v>230</v>
      </c>
      <c r="B14" s="144">
        <v>3816</v>
      </c>
      <c r="C14" s="144"/>
      <c r="D14" s="99"/>
    </row>
    <row r="15" spans="1:4">
      <c r="A15" s="119" t="s">
        <v>281</v>
      </c>
      <c r="B15" s="144">
        <f>B14*0.34</f>
        <v>1297.44</v>
      </c>
      <c r="C15" s="144"/>
      <c r="D15" s="99"/>
    </row>
    <row r="16" spans="1:4">
      <c r="A16" s="119" t="s">
        <v>231</v>
      </c>
      <c r="B16" s="144">
        <v>100</v>
      </c>
      <c r="C16" s="144"/>
      <c r="D16" s="99"/>
    </row>
    <row r="17" spans="1:6">
      <c r="A17" s="119" t="s">
        <v>232</v>
      </c>
      <c r="B17" s="144">
        <v>50</v>
      </c>
      <c r="C17" s="144"/>
      <c r="D17" s="99"/>
    </row>
    <row r="18" spans="1:6">
      <c r="A18" s="119" t="s">
        <v>233</v>
      </c>
      <c r="B18" s="144">
        <v>20</v>
      </c>
      <c r="C18" s="144"/>
      <c r="D18" s="99"/>
    </row>
    <row r="19" spans="1:6">
      <c r="A19" s="119" t="s">
        <v>234</v>
      </c>
      <c r="B19" s="144">
        <v>50</v>
      </c>
      <c r="C19" s="144"/>
      <c r="D19" s="99"/>
    </row>
    <row r="20" spans="1:6">
      <c r="A20" s="119" t="s">
        <v>236</v>
      </c>
      <c r="B20" s="117" t="s">
        <v>12</v>
      </c>
      <c r="C20" s="144"/>
      <c r="D20" s="99"/>
    </row>
    <row r="21" spans="1:6">
      <c r="A21" s="119" t="s">
        <v>238</v>
      </c>
      <c r="B21" s="144">
        <v>40</v>
      </c>
      <c r="C21" s="144"/>
      <c r="D21" s="99"/>
    </row>
    <row r="22" spans="1:6">
      <c r="A22" s="119" t="s">
        <v>239</v>
      </c>
      <c r="B22" s="144">
        <v>50</v>
      </c>
      <c r="C22" s="144"/>
      <c r="D22" s="99"/>
    </row>
    <row r="23" spans="1:6">
      <c r="A23" s="119" t="s">
        <v>241</v>
      </c>
      <c r="B23" s="117" t="s">
        <v>12</v>
      </c>
      <c r="C23" s="144"/>
      <c r="D23" s="99"/>
    </row>
    <row r="24" spans="1:6">
      <c r="A24" s="119" t="s">
        <v>102</v>
      </c>
      <c r="B24" s="144"/>
      <c r="C24" s="144"/>
      <c r="D24" s="99"/>
    </row>
    <row r="25" spans="1:6">
      <c r="A25" s="119" t="s">
        <v>243</v>
      </c>
      <c r="B25" s="144">
        <v>1978</v>
      </c>
      <c r="C25" s="144"/>
      <c r="D25" s="99"/>
    </row>
    <row r="26" spans="1:6">
      <c r="A26" s="119" t="s">
        <v>244</v>
      </c>
      <c r="B26" s="144">
        <f>SUM(B14:B22)</f>
        <v>5423.4400000000005</v>
      </c>
      <c r="C26" s="144"/>
      <c r="D26" s="99"/>
    </row>
    <row r="27" spans="1:6">
      <c r="A27" s="119" t="s">
        <v>245</v>
      </c>
      <c r="B27" s="144"/>
      <c r="C27" s="144">
        <v>20</v>
      </c>
      <c r="D27" s="99"/>
    </row>
    <row r="28" spans="1:6">
      <c r="A28" s="119" t="s">
        <v>246</v>
      </c>
      <c r="B28" s="144">
        <v>197.5</v>
      </c>
      <c r="C28" s="144"/>
      <c r="D28" s="99"/>
    </row>
    <row r="29" spans="1:6">
      <c r="A29" s="119" t="s">
        <v>280</v>
      </c>
      <c r="B29" s="144">
        <f>4090*0.34</f>
        <v>1390.6000000000001</v>
      </c>
      <c r="C29" s="144"/>
      <c r="D29" s="99"/>
    </row>
    <row r="30" spans="1:6" ht="15.75">
      <c r="A30" s="119" t="s">
        <v>247</v>
      </c>
      <c r="B30" s="144">
        <v>20</v>
      </c>
      <c r="C30" s="144"/>
      <c r="D30" s="99"/>
      <c r="F30" s="68">
        <f>2206+1286+598</f>
        <v>4090</v>
      </c>
    </row>
    <row r="31" spans="1:6">
      <c r="A31" s="119" t="s">
        <v>248</v>
      </c>
      <c r="B31" s="144">
        <v>20</v>
      </c>
      <c r="C31" s="144"/>
      <c r="D31" s="99"/>
    </row>
    <row r="32" spans="1:6">
      <c r="A32" s="119" t="s">
        <v>249</v>
      </c>
      <c r="B32" s="144">
        <v>10</v>
      </c>
      <c r="C32" s="144"/>
      <c r="D32" s="99"/>
    </row>
    <row r="33" spans="1:4">
      <c r="A33" s="119" t="s">
        <v>250</v>
      </c>
      <c r="B33" s="117" t="s">
        <v>12</v>
      </c>
      <c r="C33" s="144"/>
      <c r="D33" s="99"/>
    </row>
    <row r="34" spans="1:4">
      <c r="A34" s="119" t="s">
        <v>102</v>
      </c>
      <c r="B34" s="144"/>
      <c r="C34" s="144"/>
      <c r="D34" s="99"/>
    </row>
    <row r="35" spans="1:4">
      <c r="A35" s="119" t="s">
        <v>243</v>
      </c>
      <c r="B35" s="144">
        <v>608.5</v>
      </c>
      <c r="C35" s="144"/>
      <c r="D35" s="99"/>
    </row>
    <row r="36" spans="1:4">
      <c r="A36" s="119" t="s">
        <v>244</v>
      </c>
      <c r="B36" s="144">
        <f>SUM(B28:B32)</f>
        <v>1638.1000000000001</v>
      </c>
      <c r="C36" s="144"/>
      <c r="D36" s="99"/>
    </row>
    <row r="37" spans="1:4">
      <c r="A37" s="119" t="s">
        <v>251</v>
      </c>
      <c r="B37" s="144"/>
      <c r="C37" s="144">
        <v>10</v>
      </c>
      <c r="D37" s="99"/>
    </row>
    <row r="38" spans="1:4">
      <c r="A38" s="119" t="s">
        <v>252</v>
      </c>
      <c r="B38" s="144">
        <v>200</v>
      </c>
      <c r="C38" s="144"/>
      <c r="D38" s="99"/>
    </row>
    <row r="39" spans="1:4">
      <c r="A39" s="119" t="s">
        <v>253</v>
      </c>
      <c r="B39" s="144">
        <v>50</v>
      </c>
      <c r="C39" s="144"/>
      <c r="D39" s="99"/>
    </row>
    <row r="40" spans="1:4">
      <c r="A40" s="119" t="s">
        <v>254</v>
      </c>
      <c r="B40" s="144">
        <v>50</v>
      </c>
      <c r="C40" s="144"/>
      <c r="D40" s="99"/>
    </row>
    <row r="41" spans="1:4">
      <c r="A41" s="119" t="s">
        <v>255</v>
      </c>
      <c r="B41" s="144">
        <v>378</v>
      </c>
      <c r="C41" s="144"/>
      <c r="D41" s="99"/>
    </row>
    <row r="42" spans="1:4">
      <c r="A42" s="119" t="s">
        <v>256</v>
      </c>
      <c r="B42" s="117" t="s">
        <v>12</v>
      </c>
      <c r="C42" s="144"/>
      <c r="D42" s="99"/>
    </row>
    <row r="43" spans="1:4">
      <c r="A43" s="119" t="s">
        <v>102</v>
      </c>
      <c r="B43" s="144"/>
      <c r="C43" s="144"/>
      <c r="D43" s="99"/>
    </row>
    <row r="44" spans="1:4">
      <c r="A44" s="119" t="s">
        <v>243</v>
      </c>
      <c r="B44" s="144">
        <v>304.3</v>
      </c>
      <c r="C44" s="144"/>
      <c r="D44" s="99"/>
    </row>
    <row r="45" spans="1:4">
      <c r="A45" s="119" t="s">
        <v>244</v>
      </c>
      <c r="B45" s="144">
        <f>SUM(B38:B41)</f>
        <v>678</v>
      </c>
      <c r="C45" s="144"/>
      <c r="D45" s="99"/>
    </row>
    <row r="46" spans="1:4">
      <c r="A46" s="119" t="s">
        <v>257</v>
      </c>
      <c r="B46" s="144"/>
      <c r="C46" s="144">
        <v>5</v>
      </c>
      <c r="D46" s="99"/>
    </row>
    <row r="47" spans="1:4">
      <c r="A47" s="119" t="s">
        <v>258</v>
      </c>
      <c r="B47" s="144">
        <v>30</v>
      </c>
      <c r="C47" s="144"/>
      <c r="D47" s="99"/>
    </row>
    <row r="48" spans="1:4">
      <c r="A48" s="119" t="s">
        <v>259</v>
      </c>
      <c r="B48" s="144">
        <v>50.1</v>
      </c>
      <c r="C48" s="144"/>
      <c r="D48" s="99"/>
    </row>
    <row r="49" spans="1:4">
      <c r="A49" s="119" t="s">
        <v>250</v>
      </c>
      <c r="B49" s="117" t="s">
        <v>12</v>
      </c>
      <c r="C49" s="144"/>
      <c r="D49" s="99"/>
    </row>
    <row r="50" spans="1:4">
      <c r="A50" s="119" t="s">
        <v>102</v>
      </c>
      <c r="B50" s="144"/>
      <c r="C50" s="144"/>
      <c r="D50" s="99"/>
    </row>
    <row r="51" spans="1:4">
      <c r="A51" s="119" t="s">
        <v>243</v>
      </c>
      <c r="B51" s="144">
        <v>152.19999999999999</v>
      </c>
      <c r="C51" s="144"/>
      <c r="D51" s="99"/>
    </row>
    <row r="52" spans="1:4">
      <c r="A52" s="119" t="s">
        <v>244</v>
      </c>
      <c r="B52" s="144">
        <v>80.099999999999994</v>
      </c>
      <c r="C52" s="144"/>
      <c r="D52" s="99"/>
    </row>
    <row r="53" spans="1:4">
      <c r="A53" s="119" t="s">
        <v>260</v>
      </c>
      <c r="B53" s="144"/>
      <c r="C53" s="144"/>
      <c r="D53" s="99"/>
    </row>
    <row r="54" spans="1:4">
      <c r="A54" s="119" t="s">
        <v>243</v>
      </c>
      <c r="B54" s="144">
        <f>SUM(B25,B35,B44,B51)</f>
        <v>3043</v>
      </c>
      <c r="C54" s="144"/>
      <c r="D54" s="99"/>
    </row>
    <row r="55" spans="1:4">
      <c r="A55" s="119" t="s">
        <v>244</v>
      </c>
      <c r="B55" s="144">
        <f>SUM(B52,B45,B36,B26)</f>
        <v>7819.6400000000012</v>
      </c>
      <c r="C55" s="144"/>
      <c r="D55" s="99"/>
    </row>
    <row r="57" spans="1:4">
      <c r="A57" s="122" t="s">
        <v>261</v>
      </c>
      <c r="B57" s="118">
        <f>B55-B54</f>
        <v>4776.6400000000012</v>
      </c>
    </row>
    <row r="60" spans="1:4">
      <c r="B60" s="118">
        <v>4776.6400000000003</v>
      </c>
    </row>
  </sheetData>
  <mergeCells count="1">
    <mergeCell ref="A11:C11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4"/>
  <sheetViews>
    <sheetView topLeftCell="A4" workbookViewId="0">
      <selection activeCell="E24" sqref="E24"/>
    </sheetView>
  </sheetViews>
  <sheetFormatPr defaultRowHeight="15"/>
  <cols>
    <col min="1" max="1" width="25" customWidth="1"/>
    <col min="2" max="2" width="5.5703125" customWidth="1"/>
    <col min="3" max="3" width="8" customWidth="1"/>
    <col min="4" max="4" width="7.5703125" customWidth="1"/>
    <col min="5" max="5" width="8.140625" customWidth="1"/>
    <col min="6" max="6" width="7.85546875" customWidth="1"/>
    <col min="7" max="7" width="7" customWidth="1"/>
    <col min="8" max="8" width="8.140625" customWidth="1"/>
    <col min="9" max="9" width="8.42578125" customWidth="1"/>
    <col min="10" max="11" width="7.85546875" customWidth="1"/>
    <col min="12" max="12" width="7.42578125" customWidth="1"/>
    <col min="13" max="13" width="8.42578125" customWidth="1"/>
  </cols>
  <sheetData>
    <row r="1" spans="1:16" ht="15" customHeight="1">
      <c r="A1" s="270" t="s">
        <v>278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6" ht="15" customHeight="1">
      <c r="A2" s="247" t="s">
        <v>263</v>
      </c>
      <c r="B2" s="247" t="s">
        <v>158</v>
      </c>
      <c r="C2" s="245" t="s">
        <v>264</v>
      </c>
      <c r="D2" s="245"/>
      <c r="E2" s="245"/>
      <c r="F2" s="245"/>
      <c r="G2" s="247" t="s">
        <v>265</v>
      </c>
      <c r="H2" s="247" t="s">
        <v>266</v>
      </c>
      <c r="I2" s="247" t="s">
        <v>267</v>
      </c>
      <c r="J2" s="247"/>
      <c r="K2" s="247"/>
      <c r="L2" s="247"/>
      <c r="M2" s="247"/>
      <c r="N2" s="247" t="s">
        <v>268</v>
      </c>
    </row>
    <row r="3" spans="1:16" ht="90">
      <c r="A3" s="245"/>
      <c r="B3" s="245"/>
      <c r="C3" s="116" t="s">
        <v>269</v>
      </c>
      <c r="D3" s="116" t="s">
        <v>270</v>
      </c>
      <c r="E3" s="116" t="s">
        <v>271</v>
      </c>
      <c r="F3" s="116" t="s">
        <v>272</v>
      </c>
      <c r="G3" s="247"/>
      <c r="H3" s="247"/>
      <c r="I3" s="116" t="s">
        <v>269</v>
      </c>
      <c r="J3" s="116" t="s">
        <v>270</v>
      </c>
      <c r="K3" s="116" t="s">
        <v>271</v>
      </c>
      <c r="L3" s="116" t="s">
        <v>272</v>
      </c>
      <c r="M3" s="116" t="s">
        <v>273</v>
      </c>
      <c r="N3" s="247"/>
    </row>
    <row r="4" spans="1:16">
      <c r="A4" s="123">
        <v>1</v>
      </c>
      <c r="B4" s="123">
        <v>2</v>
      </c>
      <c r="C4" s="123">
        <v>3</v>
      </c>
      <c r="D4" s="123">
        <v>4</v>
      </c>
      <c r="E4" s="123">
        <v>5</v>
      </c>
      <c r="F4" s="123">
        <v>6</v>
      </c>
      <c r="G4" s="123">
        <v>7</v>
      </c>
      <c r="H4" s="123">
        <v>8</v>
      </c>
      <c r="I4" s="123">
        <v>9</v>
      </c>
      <c r="J4" s="123">
        <v>10</v>
      </c>
      <c r="K4" s="123">
        <v>11</v>
      </c>
      <c r="L4" s="123">
        <v>12</v>
      </c>
      <c r="M4" s="123">
        <v>13</v>
      </c>
      <c r="N4" s="123">
        <v>14</v>
      </c>
      <c r="P4" s="10"/>
    </row>
    <row r="5" spans="1:16" ht="120.75" thickBot="1">
      <c r="A5" s="116" t="s">
        <v>279</v>
      </c>
      <c r="B5" s="125" t="s">
        <v>74</v>
      </c>
      <c r="C5" s="124">
        <f>I5/H5</f>
        <v>39286.632300000005</v>
      </c>
      <c r="D5" s="124">
        <f>J5/H5</f>
        <v>11431.8032</v>
      </c>
      <c r="E5" s="124">
        <f>K5/H5</f>
        <v>717.32780000000002</v>
      </c>
      <c r="F5" s="124">
        <f>M5/H5</f>
        <v>65054.638686155791</v>
      </c>
      <c r="G5" s="124">
        <f>119.78/8</f>
        <v>14.9725</v>
      </c>
      <c r="H5" s="124">
        <v>29.74</v>
      </c>
      <c r="I5" s="128">
        <v>1168384.4446020001</v>
      </c>
      <c r="J5" s="124">
        <v>339981.82716799999</v>
      </c>
      <c r="K5" s="124">
        <v>21333.328772000001</v>
      </c>
      <c r="L5" s="124">
        <v>405025.35398427316</v>
      </c>
      <c r="M5" s="124">
        <f>SUM(I5:L5)</f>
        <v>1934724.9545262731</v>
      </c>
      <c r="N5" s="124">
        <f>G5*H5</f>
        <v>445.28215</v>
      </c>
      <c r="P5" s="129"/>
    </row>
    <row r="6" spans="1:16" ht="48">
      <c r="A6" s="116" t="s">
        <v>274</v>
      </c>
      <c r="B6" s="126" t="s">
        <v>74</v>
      </c>
      <c r="C6" s="124">
        <f>J6/H6</f>
        <v>2625.2380632145259</v>
      </c>
      <c r="D6" s="124">
        <f>K6/H6</f>
        <v>1274.569939475454</v>
      </c>
      <c r="E6" s="124">
        <f>L6/H6</f>
        <v>3219.4525891055819</v>
      </c>
      <c r="F6" s="124">
        <f>M6/H6</f>
        <v>12435.200739744454</v>
      </c>
      <c r="G6" s="124">
        <f>30.13/8</f>
        <v>3.7662499999999999</v>
      </c>
      <c r="H6" s="124">
        <v>29.74</v>
      </c>
      <c r="I6" s="115">
        <v>158096.06</v>
      </c>
      <c r="J6" s="127">
        <v>78074.58</v>
      </c>
      <c r="K6" s="124">
        <v>37905.71</v>
      </c>
      <c r="L6" s="124">
        <v>95746.52</v>
      </c>
      <c r="M6" s="124">
        <f>SUM(I6:L6)</f>
        <v>369822.87000000005</v>
      </c>
      <c r="N6" s="124">
        <f>G6*H6</f>
        <v>112.00827499999998</v>
      </c>
      <c r="P6" s="10"/>
    </row>
    <row r="7" spans="1:16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</row>
    <row r="8" spans="1:16">
      <c r="A8" s="123" t="s">
        <v>275</v>
      </c>
      <c r="B8" s="123"/>
      <c r="C8" s="123" t="s">
        <v>21</v>
      </c>
      <c r="D8" s="123" t="s">
        <v>21</v>
      </c>
      <c r="E8" s="123"/>
      <c r="F8" s="123"/>
      <c r="G8" s="123"/>
      <c r="H8" s="123"/>
      <c r="I8" s="123">
        <f>I6-I5</f>
        <v>-1010288.384602</v>
      </c>
      <c r="J8" s="123">
        <f>J6-J5</f>
        <v>-261907.24716799997</v>
      </c>
      <c r="K8" s="123"/>
      <c r="L8" s="123">
        <f>L6-L5</f>
        <v>-309278.83398427314</v>
      </c>
      <c r="M8" s="123">
        <f>M6-M5</f>
        <v>-1564902.084526273</v>
      </c>
      <c r="N8" s="123">
        <f>N6-N5</f>
        <v>-333.27387500000003</v>
      </c>
    </row>
    <row r="9" spans="1:16">
      <c r="A9" s="123" t="s">
        <v>276</v>
      </c>
      <c r="B9" s="123"/>
      <c r="C9" s="123" t="s">
        <v>21</v>
      </c>
      <c r="D9" s="123" t="s">
        <v>21</v>
      </c>
      <c r="E9" s="123" t="s">
        <v>21</v>
      </c>
      <c r="F9" s="123" t="s">
        <v>21</v>
      </c>
      <c r="G9" s="123" t="s">
        <v>21</v>
      </c>
      <c r="H9" s="123"/>
      <c r="I9" s="123"/>
      <c r="J9" s="123"/>
      <c r="K9" s="123">
        <f>K6-K5</f>
        <v>16572.381227999998</v>
      </c>
      <c r="L9" s="123"/>
      <c r="M9" s="123"/>
      <c r="N9" s="123"/>
    </row>
    <row r="10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6">
      <c r="A11" s="1" t="s">
        <v>378</v>
      </c>
      <c r="B11" s="271">
        <f>0.6*405025*(1-112/445.3)</f>
        <v>181892.88008084436</v>
      </c>
      <c r="C11" s="271"/>
      <c r="D11" s="1" t="s">
        <v>293</v>
      </c>
      <c r="E11" s="1"/>
      <c r="G11" s="118"/>
      <c r="H11" s="118"/>
      <c r="L11" s="118"/>
      <c r="M11" s="1"/>
      <c r="N11" s="1"/>
    </row>
    <row r="12" spans="1:16" ht="15" customHeight="1">
      <c r="A12" s="183" t="s">
        <v>277</v>
      </c>
      <c r="B12" s="271">
        <f>B11+L8</f>
        <v>-127385.95390342877</v>
      </c>
      <c r="C12" s="271"/>
      <c r="E12" s="1"/>
      <c r="F12" s="1"/>
      <c r="G12" s="1"/>
      <c r="H12" s="1"/>
      <c r="L12" s="1"/>
      <c r="M12" s="1"/>
      <c r="N12" s="1"/>
    </row>
    <row r="13" spans="1:16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22" spans="1:3">
      <c r="A22" s="184" t="s">
        <v>275</v>
      </c>
      <c r="B22" s="272">
        <f>M8</f>
        <v>-1564902.084526273</v>
      </c>
      <c r="C22" s="272"/>
    </row>
    <row r="23" spans="1:3">
      <c r="A23" s="184" t="s">
        <v>276</v>
      </c>
      <c r="B23" s="272">
        <f>K9</f>
        <v>16572.381227999998</v>
      </c>
      <c r="C23" s="272"/>
    </row>
    <row r="24" spans="1:3">
      <c r="A24" s="100" t="s">
        <v>277</v>
      </c>
      <c r="B24" s="272">
        <f>B22+B23</f>
        <v>-1548329.703298273</v>
      </c>
      <c r="C24" s="272"/>
    </row>
  </sheetData>
  <mergeCells count="13">
    <mergeCell ref="B11:C11"/>
    <mergeCell ref="B22:C22"/>
    <mergeCell ref="B23:C23"/>
    <mergeCell ref="B24:C24"/>
    <mergeCell ref="A1:N1"/>
    <mergeCell ref="A2:A3"/>
    <mergeCell ref="B2:B3"/>
    <mergeCell ref="C2:F2"/>
    <mergeCell ref="G2:G3"/>
    <mergeCell ref="H2:H3"/>
    <mergeCell ref="I2:M2"/>
    <mergeCell ref="N2:N3"/>
    <mergeCell ref="B12:C12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45"/>
  <sheetViews>
    <sheetView workbookViewId="0">
      <selection activeCell="B8" sqref="B8"/>
    </sheetView>
  </sheetViews>
  <sheetFormatPr defaultRowHeight="15"/>
  <cols>
    <col min="1" max="1" width="47.85546875" customWidth="1"/>
    <col min="2" max="4" width="23.7109375" customWidth="1"/>
    <col min="6" max="6" width="10" bestFit="1" customWidth="1"/>
    <col min="7" max="7" width="14.85546875" customWidth="1"/>
  </cols>
  <sheetData>
    <row r="1" spans="1:7">
      <c r="A1" s="246" t="s">
        <v>289</v>
      </c>
      <c r="B1" s="246"/>
      <c r="C1" s="246"/>
      <c r="D1" s="246"/>
    </row>
    <row r="2" spans="1:7" ht="45">
      <c r="A2" s="100" t="s">
        <v>52</v>
      </c>
      <c r="B2" s="146" t="s">
        <v>290</v>
      </c>
      <c r="C2" s="146" t="s">
        <v>291</v>
      </c>
      <c r="D2" s="146" t="s">
        <v>292</v>
      </c>
      <c r="G2" s="10"/>
    </row>
    <row r="3" spans="1:7">
      <c r="A3" s="100" t="s">
        <v>282</v>
      </c>
      <c r="B3" s="123">
        <v>37753.199999999997</v>
      </c>
      <c r="C3" s="146">
        <v>-1010.3</v>
      </c>
      <c r="D3" s="146">
        <f>B3+C3</f>
        <v>36742.899999999994</v>
      </c>
      <c r="G3" s="174"/>
    </row>
    <row r="4" spans="1:7">
      <c r="A4" s="100" t="s">
        <v>283</v>
      </c>
      <c r="B4" s="192">
        <v>2206.2999999999997</v>
      </c>
      <c r="C4" s="146">
        <v>-262</v>
      </c>
      <c r="D4" s="146">
        <f>C4+B4</f>
        <v>1944.2999999999997</v>
      </c>
      <c r="G4" s="175"/>
    </row>
    <row r="5" spans="1:7">
      <c r="A5" s="100" t="s">
        <v>284</v>
      </c>
      <c r="B5" s="100">
        <v>3864</v>
      </c>
      <c r="C5" s="146">
        <v>16.600000000000001</v>
      </c>
      <c r="D5" s="146">
        <f>C5+B5</f>
        <v>3880.6</v>
      </c>
      <c r="G5" s="175"/>
    </row>
    <row r="6" spans="1:7">
      <c r="A6" s="100" t="s">
        <v>285</v>
      </c>
      <c r="B6" s="100">
        <f>SUM(B3:B5)</f>
        <v>43823.5</v>
      </c>
      <c r="C6" s="146">
        <f>SUM(C3:C5)</f>
        <v>-1255.7</v>
      </c>
      <c r="D6" s="146">
        <f>C6+B6</f>
        <v>42567.8</v>
      </c>
      <c r="G6" s="175"/>
    </row>
    <row r="7" spans="1:7">
      <c r="A7" s="100" t="s">
        <v>286</v>
      </c>
      <c r="B7" s="144">
        <v>3043</v>
      </c>
      <c r="C7" s="146">
        <f>-127.3+4776.64</f>
        <v>4649.34</v>
      </c>
      <c r="D7" s="146">
        <f>C7+B7</f>
        <v>7692.34</v>
      </c>
      <c r="G7" s="10"/>
    </row>
    <row r="8" spans="1:7">
      <c r="A8" s="100" t="s">
        <v>287</v>
      </c>
      <c r="B8" s="100">
        <f>SUM(B6:B7)</f>
        <v>46866.5</v>
      </c>
      <c r="C8" s="146">
        <f>C6+C7</f>
        <v>3393.6400000000003</v>
      </c>
      <c r="D8" s="146">
        <f>C8+B8</f>
        <v>50260.14</v>
      </c>
      <c r="G8" s="10"/>
    </row>
    <row r="9" spans="1:7">
      <c r="A9" s="184" t="s">
        <v>361</v>
      </c>
      <c r="B9" s="100">
        <f>B10-B8</f>
        <v>-849.5</v>
      </c>
      <c r="C9" s="146"/>
      <c r="D9" s="146">
        <f>D10-D8</f>
        <v>-4243.1399999999994</v>
      </c>
      <c r="G9" s="145"/>
    </row>
    <row r="10" spans="1:7" ht="30">
      <c r="A10" s="100" t="s">
        <v>288</v>
      </c>
      <c r="B10" s="135">
        <v>46017</v>
      </c>
      <c r="C10" s="146"/>
      <c r="D10" s="135">
        <v>46017</v>
      </c>
      <c r="G10" s="10"/>
    </row>
    <row r="11" spans="1:7">
      <c r="A11" s="56"/>
      <c r="B11" s="56"/>
      <c r="C11" s="56"/>
      <c r="D11" s="56"/>
    </row>
    <row r="12" spans="1:7">
      <c r="A12" s="273"/>
      <c r="B12" s="273"/>
      <c r="C12" s="273"/>
      <c r="D12" s="273"/>
      <c r="E12" s="273"/>
      <c r="F12" s="273"/>
      <c r="G12" s="10"/>
    </row>
    <row r="13" spans="1:7">
      <c r="A13" s="273"/>
      <c r="B13" s="273"/>
      <c r="C13" s="274"/>
      <c r="D13" s="274"/>
      <c r="E13" s="274"/>
      <c r="F13" s="185"/>
      <c r="G13" s="10"/>
    </row>
    <row r="14" spans="1:7">
      <c r="A14" s="273"/>
      <c r="B14" s="273"/>
      <c r="C14" s="186"/>
      <c r="D14" s="186"/>
      <c r="E14" s="186"/>
      <c r="F14" s="186"/>
      <c r="G14" s="10"/>
    </row>
    <row r="15" spans="1:7">
      <c r="A15" s="186"/>
      <c r="B15" s="187"/>
      <c r="C15" s="188"/>
      <c r="D15" s="188"/>
      <c r="E15" s="188"/>
      <c r="F15" s="188"/>
      <c r="G15" s="10"/>
    </row>
    <row r="16" spans="1:7">
      <c r="A16" s="111"/>
      <c r="B16" s="111"/>
      <c r="C16" s="111"/>
      <c r="D16" s="111"/>
      <c r="E16" s="10"/>
      <c r="F16" s="10"/>
      <c r="G16" s="10"/>
    </row>
    <row r="17" spans="1:9">
      <c r="A17" s="111"/>
      <c r="B17" s="189"/>
      <c r="C17" s="189"/>
      <c r="D17" s="189"/>
      <c r="E17" s="189"/>
      <c r="F17" s="189"/>
      <c r="G17" s="10"/>
    </row>
    <row r="18" spans="1:9">
      <c r="A18" s="111"/>
      <c r="B18" s="111"/>
      <c r="C18" s="111"/>
      <c r="D18" s="189"/>
      <c r="E18" s="189"/>
      <c r="F18" s="189"/>
      <c r="G18" s="10"/>
    </row>
    <row r="19" spans="1:9">
      <c r="A19" s="111"/>
      <c r="B19" s="111"/>
      <c r="C19" s="111"/>
      <c r="D19" s="111"/>
      <c r="E19" s="10"/>
      <c r="F19" s="10"/>
      <c r="G19" s="10"/>
    </row>
    <row r="20" spans="1:9">
      <c r="A20" s="111"/>
      <c r="B20" s="111"/>
      <c r="C20" s="111"/>
      <c r="D20" s="111"/>
      <c r="E20" s="10"/>
      <c r="F20" s="10"/>
      <c r="G20" s="10"/>
    </row>
    <row r="21" spans="1:9">
      <c r="A21" s="190"/>
      <c r="B21" s="189"/>
      <c r="C21" s="111"/>
      <c r="D21" s="111"/>
      <c r="E21" s="10"/>
      <c r="F21" s="10"/>
      <c r="G21" s="10"/>
    </row>
    <row r="22" spans="1:9">
      <c r="A22" s="56"/>
      <c r="B22" s="56"/>
      <c r="C22" s="56"/>
      <c r="D22" s="56"/>
    </row>
    <row r="23" spans="1:9">
      <c r="A23" s="56"/>
      <c r="B23" s="56"/>
      <c r="C23" s="56"/>
      <c r="D23" s="56"/>
      <c r="I23" s="1"/>
    </row>
    <row r="24" spans="1:9">
      <c r="A24" s="56"/>
      <c r="B24" s="56"/>
      <c r="C24" s="56"/>
      <c r="D24" s="56"/>
      <c r="H24" s="1"/>
      <c r="I24" s="1"/>
    </row>
    <row r="25" spans="1:9">
      <c r="A25" s="56"/>
      <c r="B25" s="56"/>
      <c r="C25" s="56"/>
      <c r="D25" s="56"/>
      <c r="H25" s="1"/>
      <c r="I25" s="1"/>
    </row>
    <row r="26" spans="1:9">
      <c r="A26" s="56"/>
      <c r="B26" s="56"/>
      <c r="C26" s="56"/>
      <c r="D26" s="56"/>
      <c r="H26" s="1"/>
      <c r="I26" s="1"/>
    </row>
    <row r="27" spans="1:9">
      <c r="A27" s="56"/>
      <c r="B27" s="56"/>
      <c r="C27" s="56"/>
      <c r="D27" s="56"/>
      <c r="H27" s="1"/>
      <c r="I27" s="1"/>
    </row>
    <row r="28" spans="1:9">
      <c r="A28" s="56"/>
      <c r="B28" s="56"/>
      <c r="C28" s="56"/>
      <c r="D28" s="56"/>
      <c r="H28" s="1"/>
      <c r="I28" s="1"/>
    </row>
    <row r="29" spans="1:9">
      <c r="A29" s="56"/>
      <c r="B29" s="56"/>
      <c r="C29" s="56"/>
      <c r="D29" s="56"/>
    </row>
    <row r="30" spans="1:9">
      <c r="A30" s="56"/>
      <c r="B30" s="56"/>
      <c r="C30" s="56"/>
      <c r="D30" s="56"/>
    </row>
    <row r="31" spans="1:9">
      <c r="A31" s="56"/>
      <c r="B31" s="56"/>
      <c r="C31" s="56"/>
      <c r="D31" s="56"/>
    </row>
    <row r="32" spans="1:9">
      <c r="A32" s="56"/>
      <c r="B32" s="56"/>
      <c r="C32" s="56"/>
      <c r="D32" s="56"/>
    </row>
    <row r="33" spans="1:4">
      <c r="A33" s="56"/>
      <c r="B33" s="56"/>
      <c r="C33" s="56"/>
      <c r="D33" s="56"/>
    </row>
    <row r="34" spans="1:4">
      <c r="A34" s="56"/>
      <c r="B34" s="56"/>
      <c r="C34" s="56"/>
      <c r="D34" s="56"/>
    </row>
    <row r="35" spans="1:4">
      <c r="A35" s="56"/>
      <c r="B35" s="56"/>
      <c r="C35" s="56"/>
      <c r="D35" s="56"/>
    </row>
    <row r="36" spans="1:4">
      <c r="A36" s="56"/>
      <c r="B36" s="56"/>
      <c r="C36" s="56"/>
      <c r="D36" s="56"/>
    </row>
    <row r="37" spans="1:4">
      <c r="A37" s="56"/>
      <c r="B37" s="56"/>
      <c r="C37" s="56"/>
      <c r="D37" s="56"/>
    </row>
    <row r="38" spans="1:4">
      <c r="A38" s="56"/>
      <c r="B38" s="56"/>
      <c r="C38" s="56"/>
      <c r="D38" s="56"/>
    </row>
    <row r="39" spans="1:4">
      <c r="A39" s="56"/>
      <c r="B39" s="56"/>
      <c r="C39" s="56"/>
      <c r="D39" s="56"/>
    </row>
    <row r="40" spans="1:4">
      <c r="A40" s="56"/>
      <c r="B40" s="56"/>
      <c r="C40" s="56"/>
      <c r="D40" s="56"/>
    </row>
    <row r="41" spans="1:4">
      <c r="A41" s="56"/>
      <c r="B41" s="56"/>
      <c r="C41" s="56"/>
      <c r="D41" s="56"/>
    </row>
    <row r="42" spans="1:4">
      <c r="A42" s="56"/>
      <c r="B42" s="56"/>
      <c r="C42" s="56"/>
      <c r="D42" s="56"/>
    </row>
    <row r="43" spans="1:4">
      <c r="A43" s="56"/>
      <c r="B43" s="56"/>
      <c r="C43" s="56"/>
      <c r="D43" s="56"/>
    </row>
    <row r="44" spans="1:4">
      <c r="A44" s="56"/>
      <c r="B44" s="56"/>
      <c r="C44" s="56"/>
      <c r="D44" s="56"/>
    </row>
    <row r="45" spans="1:4">
      <c r="A45" s="56"/>
      <c r="B45" s="56"/>
      <c r="C45" s="56"/>
      <c r="D45" s="56"/>
    </row>
  </sheetData>
  <mergeCells count="5">
    <mergeCell ref="A1:D1"/>
    <mergeCell ref="A12:F12"/>
    <mergeCell ref="A13:A14"/>
    <mergeCell ref="B13:B14"/>
    <mergeCell ref="C13:E13"/>
  </mergeCells>
  <pageMargins left="0.7" right="0.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59"/>
  <sheetViews>
    <sheetView workbookViewId="0">
      <selection activeCell="C34" sqref="C34"/>
    </sheetView>
  </sheetViews>
  <sheetFormatPr defaultRowHeight="15"/>
  <cols>
    <col min="1" max="1" width="40.5703125" customWidth="1"/>
    <col min="2" max="2" width="30.85546875" customWidth="1"/>
    <col min="3" max="3" width="31.85546875" customWidth="1"/>
    <col min="4" max="4" width="24.140625" customWidth="1"/>
    <col min="6" max="6" width="10" bestFit="1" customWidth="1"/>
    <col min="7" max="7" width="20" customWidth="1"/>
  </cols>
  <sheetData>
    <row r="1" spans="1:9" s="1" customFormat="1" ht="15" customHeight="1">
      <c r="A1" s="246" t="s">
        <v>289</v>
      </c>
      <c r="B1" s="246"/>
      <c r="C1" s="246"/>
      <c r="D1" s="246"/>
      <c r="E1" s="188"/>
      <c r="F1" s="188"/>
      <c r="G1" s="10"/>
    </row>
    <row r="2" spans="1:9" s="1" customFormat="1" ht="30">
      <c r="A2" s="100" t="s">
        <v>52</v>
      </c>
      <c r="B2" s="223" t="s">
        <v>290</v>
      </c>
      <c r="C2" s="223" t="s">
        <v>291</v>
      </c>
      <c r="D2" s="223" t="s">
        <v>292</v>
      </c>
      <c r="E2" s="10"/>
      <c r="F2" s="10"/>
      <c r="G2" s="10"/>
    </row>
    <row r="3" spans="1:9" s="1" customFormat="1">
      <c r="A3" s="100" t="s">
        <v>282</v>
      </c>
      <c r="B3" s="123">
        <v>37753.199999999997</v>
      </c>
      <c r="C3" s="223">
        <v>-1010.3</v>
      </c>
      <c r="D3" s="223">
        <f>B3+C3</f>
        <v>36742.899999999994</v>
      </c>
      <c r="E3" s="189"/>
      <c r="F3" s="189">
        <v>36742.899999999994</v>
      </c>
      <c r="G3" s="10">
        <v>122</v>
      </c>
    </row>
    <row r="4" spans="1:9" s="1" customFormat="1">
      <c r="A4" s="100" t="s">
        <v>283</v>
      </c>
      <c r="B4" s="192">
        <v>2206.2999999999997</v>
      </c>
      <c r="C4" s="223">
        <v>-262</v>
      </c>
      <c r="D4" s="223">
        <f>C4+B4</f>
        <v>1944.2999999999997</v>
      </c>
      <c r="E4" s="189"/>
      <c r="F4" s="189">
        <f>F3*G4/G3</f>
        <v>30117.131147540978</v>
      </c>
      <c r="G4" s="10">
        <v>100</v>
      </c>
      <c r="H4" s="1" t="s">
        <v>381</v>
      </c>
    </row>
    <row r="5" spans="1:9" s="1" customFormat="1" ht="30">
      <c r="A5" s="100" t="s">
        <v>284</v>
      </c>
      <c r="B5" s="100">
        <v>3864</v>
      </c>
      <c r="C5" s="223">
        <v>16.600000000000001</v>
      </c>
      <c r="D5" s="223">
        <f>C5+B5</f>
        <v>3880.6</v>
      </c>
      <c r="E5" s="10"/>
      <c r="F5" s="10"/>
      <c r="G5" s="10">
        <f>F4*0.1</f>
        <v>3011.7131147540981</v>
      </c>
      <c r="H5" s="224">
        <v>0.1</v>
      </c>
    </row>
    <row r="6" spans="1:9" s="1" customFormat="1">
      <c r="A6" s="100" t="s">
        <v>285</v>
      </c>
      <c r="B6" s="100">
        <f>SUM(B3:B5)</f>
        <v>43823.5</v>
      </c>
      <c r="C6" s="223">
        <f>SUM(C3:C5)</f>
        <v>-1255.7</v>
      </c>
      <c r="D6" s="223">
        <f>C6+B6</f>
        <v>42567.8</v>
      </c>
      <c r="E6" s="10"/>
      <c r="F6" s="10"/>
      <c r="G6" s="10">
        <f>F4*0.12</f>
        <v>3614.0557377049172</v>
      </c>
      <c r="H6" s="224">
        <v>0.12</v>
      </c>
    </row>
    <row r="7" spans="1:9" s="1" customFormat="1">
      <c r="A7" s="100" t="s">
        <v>286</v>
      </c>
      <c r="B7" s="222">
        <v>3043</v>
      </c>
      <c r="C7" s="223">
        <f>-127.3+4776.64</f>
        <v>4649.34</v>
      </c>
      <c r="D7" s="223">
        <f>C7+B7</f>
        <v>7692.34</v>
      </c>
      <c r="E7" s="10"/>
      <c r="F7" s="10"/>
      <c r="G7" s="10">
        <f>F4+G5+G6</f>
        <v>36742.899999999994</v>
      </c>
    </row>
    <row r="8" spans="1:9" s="1" customFormat="1">
      <c r="A8" s="100" t="s">
        <v>287</v>
      </c>
      <c r="B8" s="100">
        <f>SUM(B6:B7)</f>
        <v>46866.5</v>
      </c>
      <c r="C8" s="223">
        <f>C6+C7</f>
        <v>3393.6400000000003</v>
      </c>
      <c r="D8" s="223">
        <f>C8+B8</f>
        <v>50260.14</v>
      </c>
    </row>
    <row r="9" spans="1:9" s="1" customFormat="1">
      <c r="A9" s="184" t="s">
        <v>361</v>
      </c>
      <c r="B9" s="100">
        <f>B10-B8</f>
        <v>-849.5</v>
      </c>
      <c r="C9" s="223"/>
      <c r="D9" s="223">
        <f>D10-D8</f>
        <v>-4243.1399999999994</v>
      </c>
    </row>
    <row r="10" spans="1:9" s="1" customFormat="1" ht="30">
      <c r="A10" s="100" t="s">
        <v>288</v>
      </c>
      <c r="B10" s="135">
        <v>46017</v>
      </c>
      <c r="C10" s="223"/>
      <c r="D10" s="135">
        <v>46017</v>
      </c>
    </row>
    <row r="11" spans="1:9" s="1" customFormat="1">
      <c r="A11" s="163"/>
      <c r="B11" s="220"/>
      <c r="C11" s="111"/>
      <c r="D11" s="111"/>
    </row>
    <row r="12" spans="1:9">
      <c r="A12" s="275" t="s">
        <v>342</v>
      </c>
      <c r="B12" s="275"/>
      <c r="C12" s="275"/>
      <c r="D12" s="275"/>
    </row>
    <row r="13" spans="1:9" s="1" customFormat="1">
      <c r="A13" s="149"/>
      <c r="B13" s="149"/>
      <c r="C13" s="149"/>
      <c r="D13" s="149"/>
    </row>
    <row r="14" spans="1:9" ht="45">
      <c r="A14" s="219" t="s">
        <v>294</v>
      </c>
      <c r="B14" s="219" t="s">
        <v>295</v>
      </c>
      <c r="C14" s="219" t="s">
        <v>296</v>
      </c>
      <c r="D14" s="219" t="s">
        <v>297</v>
      </c>
      <c r="G14" s="10"/>
      <c r="H14" s="191"/>
      <c r="I14" s="10"/>
    </row>
    <row r="15" spans="1:9">
      <c r="A15" s="176" t="s">
        <v>298</v>
      </c>
      <c r="B15" s="189">
        <v>36742.899999999994</v>
      </c>
      <c r="C15" s="176" t="s">
        <v>299</v>
      </c>
      <c r="D15" s="136">
        <f>SUM(D16:D20)</f>
        <v>41249.364480874319</v>
      </c>
      <c r="G15" s="174"/>
      <c r="H15" s="10"/>
      <c r="I15" s="10"/>
    </row>
    <row r="16" spans="1:9">
      <c r="A16" s="56" t="s">
        <v>300</v>
      </c>
      <c r="B16" s="163">
        <v>30117.131147540978</v>
      </c>
      <c r="C16" s="56" t="s">
        <v>301</v>
      </c>
      <c r="D16" s="136">
        <f>B17+B21+4180+B37</f>
        <v>8067.7</v>
      </c>
      <c r="G16" s="10">
        <f>50260.14+4180</f>
        <v>54440.14</v>
      </c>
      <c r="H16" s="10"/>
      <c r="I16" s="10"/>
    </row>
    <row r="17" spans="1:9" ht="30">
      <c r="A17" s="56" t="s">
        <v>302</v>
      </c>
      <c r="B17" s="56">
        <v>3011.7</v>
      </c>
      <c r="C17" s="56" t="s">
        <v>303</v>
      </c>
      <c r="D17" s="56">
        <f>B16</f>
        <v>30117.131147540978</v>
      </c>
      <c r="G17" s="112"/>
      <c r="H17" s="112"/>
      <c r="I17" s="10"/>
    </row>
    <row r="18" spans="1:9">
      <c r="A18" s="56" t="s">
        <v>304</v>
      </c>
      <c r="B18" s="56">
        <v>3614</v>
      </c>
      <c r="C18" s="56" t="s">
        <v>305</v>
      </c>
      <c r="D18" s="137">
        <f>B29</f>
        <v>1094.2666666666667</v>
      </c>
      <c r="G18" s="112"/>
      <c r="H18" s="112"/>
      <c r="I18" s="10"/>
    </row>
    <row r="19" spans="1:9" ht="30">
      <c r="A19" s="56" t="s">
        <v>306</v>
      </c>
      <c r="B19" s="56">
        <v>1286</v>
      </c>
      <c r="C19" s="56" t="s">
        <v>307</v>
      </c>
      <c r="D19" s="136">
        <f>B20+B30+B39</f>
        <v>1920.2666666666667</v>
      </c>
      <c r="G19" s="112"/>
      <c r="H19" s="112"/>
      <c r="I19" s="10"/>
    </row>
    <row r="20" spans="1:9" ht="30">
      <c r="A20" s="56" t="s">
        <v>308</v>
      </c>
      <c r="B20" s="136">
        <f>(B18-B19)/3</f>
        <v>776</v>
      </c>
      <c r="C20" s="56" t="s">
        <v>309</v>
      </c>
      <c r="D20" s="56">
        <f>B38</f>
        <v>50</v>
      </c>
      <c r="F20" s="136"/>
      <c r="G20" s="112"/>
      <c r="H20" s="112"/>
      <c r="I20" s="10"/>
    </row>
    <row r="21" spans="1:9">
      <c r="A21" s="56" t="s">
        <v>310</v>
      </c>
      <c r="B21" s="136">
        <v>776</v>
      </c>
      <c r="C21" s="56"/>
      <c r="D21" s="56"/>
      <c r="G21" s="112"/>
      <c r="H21" s="112"/>
      <c r="I21" s="10"/>
    </row>
    <row r="22" spans="1:9">
      <c r="A22" s="56" t="s">
        <v>311</v>
      </c>
      <c r="B22" s="136">
        <v>776</v>
      </c>
      <c r="C22" s="56"/>
      <c r="D22" s="56"/>
      <c r="G22" s="112"/>
      <c r="H22" s="112"/>
      <c r="I22" s="10"/>
    </row>
    <row r="23" spans="1:9">
      <c r="A23" s="176" t="s">
        <v>283</v>
      </c>
      <c r="B23" s="134">
        <v>1944.3</v>
      </c>
      <c r="C23" s="176" t="s">
        <v>312</v>
      </c>
      <c r="D23" s="56">
        <f>SUM(D24:D26)</f>
        <v>7046.3</v>
      </c>
      <c r="G23" s="112"/>
      <c r="H23" s="112"/>
      <c r="I23" s="10"/>
    </row>
    <row r="24" spans="1:9">
      <c r="A24" s="56"/>
      <c r="B24" s="56"/>
      <c r="C24" s="56" t="s">
        <v>313</v>
      </c>
      <c r="D24" s="134">
        <f>B23</f>
        <v>1944.3</v>
      </c>
      <c r="G24" s="10"/>
      <c r="H24" s="10"/>
      <c r="I24" s="10"/>
    </row>
    <row r="25" spans="1:9">
      <c r="A25" s="56"/>
      <c r="B25" s="56"/>
      <c r="C25" s="56" t="s">
        <v>314</v>
      </c>
      <c r="D25" s="56">
        <v>1286</v>
      </c>
      <c r="G25" s="10"/>
      <c r="H25" s="10"/>
      <c r="I25" s="10"/>
    </row>
    <row r="26" spans="1:9">
      <c r="A26" s="56"/>
      <c r="B26" s="56"/>
      <c r="C26" s="56" t="s">
        <v>315</v>
      </c>
      <c r="D26" s="56">
        <v>3816</v>
      </c>
      <c r="G26" s="10"/>
      <c r="H26" s="10"/>
      <c r="I26" s="10"/>
    </row>
    <row r="27" spans="1:9" ht="45">
      <c r="A27" s="176" t="s">
        <v>316</v>
      </c>
      <c r="B27" s="56">
        <v>3880.6</v>
      </c>
      <c r="C27" s="176" t="s">
        <v>317</v>
      </c>
      <c r="D27" s="56">
        <f>B35</f>
        <v>2669.94</v>
      </c>
      <c r="G27" s="175"/>
      <c r="H27" s="10"/>
      <c r="I27" s="10"/>
    </row>
    <row r="28" spans="1:9">
      <c r="A28" s="56" t="s">
        <v>318</v>
      </c>
      <c r="B28" s="56">
        <v>597.79999999999995</v>
      </c>
      <c r="C28" s="176" t="s">
        <v>319</v>
      </c>
      <c r="D28" s="56">
        <f>SUM(D29:D31)</f>
        <v>1920.2666666666667</v>
      </c>
      <c r="G28" s="175"/>
      <c r="H28" s="10"/>
      <c r="I28" s="10"/>
    </row>
    <row r="29" spans="1:9">
      <c r="A29" s="56" t="s">
        <v>320</v>
      </c>
      <c r="B29" s="137">
        <f>(B27-B28)/3</f>
        <v>1094.2666666666667</v>
      </c>
      <c r="C29" s="56" t="s">
        <v>321</v>
      </c>
      <c r="D29" s="56">
        <f>B31</f>
        <v>1094.2666666666667</v>
      </c>
      <c r="G29" s="175"/>
      <c r="H29" s="10"/>
      <c r="I29" s="10"/>
    </row>
    <row r="30" spans="1:9">
      <c r="A30" s="56" t="s">
        <v>322</v>
      </c>
      <c r="B30" s="137">
        <f>B29</f>
        <v>1094.2666666666667</v>
      </c>
      <c r="C30" s="56" t="s">
        <v>323</v>
      </c>
      <c r="D30" s="136">
        <f>B22</f>
        <v>776</v>
      </c>
      <c r="G30" s="10"/>
      <c r="H30" s="10"/>
      <c r="I30" s="10"/>
    </row>
    <row r="31" spans="1:9" ht="30">
      <c r="A31" s="56" t="s">
        <v>324</v>
      </c>
      <c r="B31" s="137">
        <f>B29</f>
        <v>1094.2666666666667</v>
      </c>
      <c r="C31" s="56" t="s">
        <v>325</v>
      </c>
      <c r="D31" s="56">
        <f>B36</f>
        <v>50</v>
      </c>
    </row>
    <row r="32" spans="1:9">
      <c r="A32" s="176" t="s">
        <v>326</v>
      </c>
      <c r="B32" s="145">
        <v>7692.34</v>
      </c>
      <c r="C32" s="176" t="s">
        <v>327</v>
      </c>
      <c r="D32" s="56">
        <f>D33+D35+D36</f>
        <v>200</v>
      </c>
    </row>
    <row r="33" spans="1:7" ht="30">
      <c r="A33" s="56" t="s">
        <v>328</v>
      </c>
      <c r="B33" s="56">
        <v>80</v>
      </c>
      <c r="C33" s="56" t="s">
        <v>329</v>
      </c>
      <c r="D33" s="56">
        <v>80</v>
      </c>
    </row>
    <row r="34" spans="1:7" ht="30">
      <c r="A34" s="56" t="s">
        <v>330</v>
      </c>
      <c r="B34" s="149">
        <v>4013.5</v>
      </c>
      <c r="C34" s="56" t="s">
        <v>331</v>
      </c>
      <c r="D34" s="101" t="s">
        <v>12</v>
      </c>
    </row>
    <row r="35" spans="1:7" ht="30">
      <c r="A35" s="56" t="s">
        <v>332</v>
      </c>
      <c r="B35" s="149">
        <v>2669.94</v>
      </c>
      <c r="C35" s="56" t="s">
        <v>333</v>
      </c>
      <c r="D35" s="56">
        <f>B41</f>
        <v>20</v>
      </c>
    </row>
    <row r="36" spans="1:7">
      <c r="A36" s="56" t="s">
        <v>334</v>
      </c>
      <c r="B36" s="56">
        <v>50</v>
      </c>
      <c r="C36" s="56" t="s">
        <v>250</v>
      </c>
      <c r="D36" s="56">
        <f>B42</f>
        <v>100</v>
      </c>
    </row>
    <row r="37" spans="1:7">
      <c r="A37" s="56" t="s">
        <v>335</v>
      </c>
      <c r="B37" s="56">
        <v>100</v>
      </c>
      <c r="C37" s="56"/>
      <c r="D37" s="56"/>
    </row>
    <row r="38" spans="1:7" ht="30">
      <c r="A38" s="56" t="s">
        <v>336</v>
      </c>
      <c r="B38" s="56">
        <v>50</v>
      </c>
      <c r="C38" s="56"/>
      <c r="D38" s="56"/>
    </row>
    <row r="39" spans="1:7">
      <c r="A39" s="56" t="s">
        <v>337</v>
      </c>
      <c r="B39" s="56">
        <v>50</v>
      </c>
      <c r="C39" s="56"/>
      <c r="D39" s="56"/>
    </row>
    <row r="40" spans="1:7">
      <c r="A40" s="56" t="s">
        <v>338</v>
      </c>
      <c r="B40" s="101" t="s">
        <v>12</v>
      </c>
      <c r="C40" s="56"/>
      <c r="D40" s="56"/>
    </row>
    <row r="41" spans="1:7">
      <c r="A41" s="56" t="s">
        <v>333</v>
      </c>
      <c r="B41" s="56">
        <v>20</v>
      </c>
      <c r="C41" s="56"/>
      <c r="D41" s="56"/>
    </row>
    <row r="42" spans="1:7">
      <c r="A42" s="56" t="s">
        <v>339</v>
      </c>
      <c r="B42" s="56">
        <f>50+50</f>
        <v>100</v>
      </c>
      <c r="C42" s="56"/>
      <c r="D42" s="56"/>
    </row>
    <row r="43" spans="1:7" s="1" customFormat="1">
      <c r="A43" s="149"/>
      <c r="B43" s="149"/>
      <c r="C43" s="149"/>
      <c r="D43" s="149"/>
    </row>
    <row r="44" spans="1:7">
      <c r="A44" s="149" t="s">
        <v>340</v>
      </c>
      <c r="B44" s="56">
        <f>B15+B27+B32+B23</f>
        <v>50260.14</v>
      </c>
      <c r="C44" s="56" t="s">
        <v>21</v>
      </c>
      <c r="D44" s="136">
        <f>D15+D23+D27+D28+D32</f>
        <v>53085.871147540995</v>
      </c>
      <c r="E44" s="182">
        <f>D44-B44</f>
        <v>2825.7311475409952</v>
      </c>
      <c r="G44" s="182">
        <f>4180-E44</f>
        <v>1354.2688524590048</v>
      </c>
    </row>
    <row r="45" spans="1:7">
      <c r="A45" s="149" t="s">
        <v>362</v>
      </c>
      <c r="B45" s="149">
        <f>B46-B44</f>
        <v>-4243.1399999999994</v>
      </c>
      <c r="C45" s="56" t="s">
        <v>21</v>
      </c>
      <c r="D45" s="182">
        <f>D46-D44</f>
        <v>-7068.8711475409946</v>
      </c>
      <c r="F45" s="182"/>
    </row>
    <row r="46" spans="1:7">
      <c r="A46" s="149" t="s">
        <v>341</v>
      </c>
      <c r="B46" s="220">
        <v>46017</v>
      </c>
      <c r="C46" s="56"/>
      <c r="D46" s="182">
        <f>B46</f>
        <v>46017</v>
      </c>
      <c r="E46" s="182"/>
    </row>
    <row r="47" spans="1:7">
      <c r="A47" s="56"/>
      <c r="B47" s="56"/>
      <c r="C47" s="56"/>
    </row>
    <row r="48" spans="1:7">
      <c r="C48" s="56"/>
      <c r="D48" s="56"/>
    </row>
    <row r="49" spans="1:7">
      <c r="C49" s="56"/>
      <c r="D49" s="56"/>
    </row>
    <row r="50" spans="1:7">
      <c r="C50" s="56"/>
      <c r="D50" s="56"/>
    </row>
    <row r="51" spans="1:7">
      <c r="A51" s="56"/>
      <c r="B51" s="56"/>
      <c r="C51" s="56"/>
      <c r="D51" s="56"/>
      <c r="G51" s="56"/>
    </row>
    <row r="52" spans="1:7">
      <c r="A52" s="56"/>
      <c r="B52" s="56"/>
      <c r="C52" s="56"/>
      <c r="D52" s="56"/>
      <c r="G52" s="56"/>
    </row>
    <row r="53" spans="1:7">
      <c r="A53" s="56"/>
      <c r="B53" s="56"/>
      <c r="C53" s="56"/>
      <c r="D53" s="56"/>
      <c r="G53" s="56"/>
    </row>
    <row r="54" spans="1:7">
      <c r="A54" s="56"/>
      <c r="B54" s="56"/>
      <c r="C54" s="56"/>
      <c r="D54" s="56"/>
    </row>
    <row r="55" spans="1:7">
      <c r="A55" s="56"/>
      <c r="B55" s="56"/>
      <c r="C55" s="56"/>
      <c r="D55" s="56"/>
    </row>
    <row r="56" spans="1:7">
      <c r="A56" s="56"/>
      <c r="B56" s="56"/>
      <c r="C56" s="56"/>
      <c r="D56" s="56"/>
    </row>
    <row r="57" spans="1:7">
      <c r="A57" s="56"/>
      <c r="B57" s="56"/>
      <c r="C57" s="56"/>
      <c r="D57" s="56"/>
    </row>
    <row r="58" spans="1:7">
      <c r="A58" s="56"/>
      <c r="B58" s="56"/>
      <c r="C58" s="56"/>
      <c r="D58" s="56"/>
    </row>
    <row r="59" spans="1:7">
      <c r="A59" s="56"/>
      <c r="B59" s="56"/>
      <c r="C59" s="56"/>
      <c r="D59" s="56"/>
    </row>
  </sheetData>
  <mergeCells count="2">
    <mergeCell ref="A12:D12"/>
    <mergeCell ref="A1:D1"/>
  </mergeCells>
  <pageMargins left="0.7" right="0.7" top="0.75" bottom="0.75" header="0.3" footer="0.3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D10" sqref="D10"/>
    </sheetView>
  </sheetViews>
  <sheetFormatPr defaultRowHeight="15"/>
  <cols>
    <col min="1" max="1" width="46.42578125" style="177" customWidth="1"/>
    <col min="2" max="2" width="20.28515625" style="177" customWidth="1"/>
  </cols>
  <sheetData>
    <row r="1" spans="1:4" s="1" customFormat="1" ht="29.25" customHeight="1" thickBot="1">
      <c r="A1" s="193" t="s">
        <v>377</v>
      </c>
      <c r="B1" s="193"/>
    </row>
    <row r="2" spans="1:4" ht="30.75" customHeight="1" thickBot="1">
      <c r="A2" s="178" t="s">
        <v>363</v>
      </c>
      <c r="B2" s="179" t="s">
        <v>364</v>
      </c>
    </row>
    <row r="3" spans="1:4" ht="30.75" thickBot="1">
      <c r="A3" s="180" t="s">
        <v>365</v>
      </c>
      <c r="B3" s="181">
        <v>50197.3</v>
      </c>
    </row>
    <row r="4" spans="1:4" ht="15.75" thickBot="1">
      <c r="A4" s="180" t="s">
        <v>366</v>
      </c>
      <c r="B4" s="225">
        <f>50260.14+4180</f>
        <v>54440.14</v>
      </c>
      <c r="D4">
        <v>50260.14</v>
      </c>
    </row>
    <row r="5" spans="1:4" ht="15.75" customHeight="1" thickBot="1">
      <c r="A5" s="180" t="s">
        <v>367</v>
      </c>
      <c r="B5" s="225">
        <f>B3-B4</f>
        <v>-4242.8399999999965</v>
      </c>
    </row>
    <row r="6" spans="1:4" ht="15.75" customHeight="1" thickBot="1">
      <c r="A6" s="180" t="s">
        <v>368</v>
      </c>
      <c r="B6" s="225" t="s">
        <v>12</v>
      </c>
    </row>
    <row r="7" spans="1:4" ht="15.75" customHeight="1" thickBot="1">
      <c r="A7" s="180" t="s">
        <v>369</v>
      </c>
      <c r="B7" s="225" t="s">
        <v>12</v>
      </c>
    </row>
    <row r="8" spans="1:4" ht="15.75" customHeight="1" thickBot="1">
      <c r="A8" s="180" t="s">
        <v>370</v>
      </c>
      <c r="B8" s="225">
        <f>B5</f>
        <v>-4242.8399999999965</v>
      </c>
    </row>
    <row r="9" spans="1:4" ht="15.75" customHeight="1" thickBot="1">
      <c r="A9" s="180" t="s">
        <v>371</v>
      </c>
      <c r="B9" s="225" t="s">
        <v>12</v>
      </c>
    </row>
    <row r="10" spans="1:4" ht="15.75" customHeight="1" thickBot="1">
      <c r="A10" s="180" t="s">
        <v>372</v>
      </c>
      <c r="B10" s="225" t="s">
        <v>12</v>
      </c>
    </row>
    <row r="11" spans="1:4" ht="15.75" customHeight="1" thickBot="1">
      <c r="A11" s="180" t="s">
        <v>373</v>
      </c>
      <c r="B11" s="225" t="s">
        <v>12</v>
      </c>
    </row>
    <row r="12" spans="1:4" ht="15.75" customHeight="1" thickBot="1">
      <c r="A12" s="180" t="s">
        <v>374</v>
      </c>
      <c r="B12" s="225">
        <v>100</v>
      </c>
    </row>
    <row r="13" spans="1:4" ht="15.75" customHeight="1" thickBot="1">
      <c r="A13" s="180" t="s">
        <v>375</v>
      </c>
      <c r="B13" s="225">
        <f>B8-B12</f>
        <v>-4342.8399999999965</v>
      </c>
    </row>
    <row r="14" spans="1:4" ht="15.75" customHeight="1" thickBot="1">
      <c r="A14" s="180" t="s">
        <v>382</v>
      </c>
      <c r="B14" s="225" t="s">
        <v>12</v>
      </c>
    </row>
    <row r="15" spans="1:4" ht="15.75" customHeight="1" thickBot="1">
      <c r="A15" s="180" t="s">
        <v>376</v>
      </c>
      <c r="B15" s="225">
        <f>B13</f>
        <v>-4342.8399999999965</v>
      </c>
    </row>
    <row r="16" spans="1:4" ht="15.75" customHeight="1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83"/>
  <sheetViews>
    <sheetView topLeftCell="A28" workbookViewId="0">
      <selection activeCell="C30" sqref="C30"/>
    </sheetView>
  </sheetViews>
  <sheetFormatPr defaultRowHeight="15"/>
  <cols>
    <col min="1" max="1" width="4" style="18" customWidth="1"/>
    <col min="2" max="2" width="41.42578125" customWidth="1"/>
    <col min="3" max="7" width="17" customWidth="1"/>
    <col min="8" max="8" width="16" bestFit="1" customWidth="1"/>
    <col min="9" max="9" width="16.140625" bestFit="1" customWidth="1"/>
    <col min="10" max="10" width="15.42578125" bestFit="1" customWidth="1"/>
    <col min="11" max="11" width="15.42578125" customWidth="1"/>
    <col min="12" max="12" width="14.28515625" bestFit="1" customWidth="1"/>
  </cols>
  <sheetData>
    <row r="1" spans="1:12" ht="15.75">
      <c r="B1" s="235"/>
      <c r="C1" s="235"/>
      <c r="D1" s="235"/>
      <c r="E1" s="235"/>
      <c r="F1" s="235"/>
      <c r="G1" s="235"/>
    </row>
    <row r="2" spans="1:12" ht="15.75">
      <c r="B2" s="226" t="s">
        <v>66</v>
      </c>
      <c r="C2" s="226"/>
      <c r="D2" s="226"/>
      <c r="E2" s="226"/>
      <c r="F2" s="226"/>
      <c r="G2" s="226"/>
    </row>
    <row r="3" spans="1:12" s="1" customFormat="1" ht="15.75">
      <c r="A3" s="18"/>
      <c r="B3" s="2"/>
      <c r="C3" s="2"/>
      <c r="D3" s="2"/>
      <c r="E3" s="2"/>
      <c r="F3" s="2"/>
      <c r="G3" s="2"/>
    </row>
    <row r="4" spans="1:12" ht="15.75">
      <c r="A4" s="19"/>
      <c r="B4" s="232" t="s">
        <v>0</v>
      </c>
      <c r="C4" s="234" t="s">
        <v>6</v>
      </c>
      <c r="D4" s="234" t="s">
        <v>7</v>
      </c>
      <c r="E4" s="234"/>
      <c r="F4" s="234"/>
      <c r="G4" s="234"/>
    </row>
    <row r="5" spans="1:12" ht="15.75">
      <c r="A5" s="20"/>
      <c r="B5" s="233"/>
      <c r="C5" s="234"/>
      <c r="D5" s="15" t="s">
        <v>8</v>
      </c>
      <c r="E5" s="15" t="s">
        <v>9</v>
      </c>
      <c r="F5" s="15" t="s">
        <v>10</v>
      </c>
      <c r="G5" s="15" t="s">
        <v>11</v>
      </c>
    </row>
    <row r="6" spans="1:12" ht="90">
      <c r="A6" s="30">
        <v>1</v>
      </c>
      <c r="B6" s="16" t="s">
        <v>36</v>
      </c>
      <c r="C6" s="14" t="s">
        <v>12</v>
      </c>
      <c r="D6" s="14" t="s">
        <v>12</v>
      </c>
      <c r="E6" s="14" t="s">
        <v>12</v>
      </c>
      <c r="F6" s="14" t="s">
        <v>12</v>
      </c>
      <c r="G6" s="14" t="s">
        <v>12</v>
      </c>
    </row>
    <row r="7" spans="1:12" s="23" customFormat="1" ht="15.75">
      <c r="A7" s="31"/>
      <c r="B7" s="29" t="s">
        <v>35</v>
      </c>
      <c r="C7" s="14" t="s">
        <v>12</v>
      </c>
      <c r="D7" s="14" t="s">
        <v>12</v>
      </c>
      <c r="E7" s="14" t="s">
        <v>12</v>
      </c>
      <c r="F7" s="14" t="s">
        <v>12</v>
      </c>
      <c r="G7" s="14" t="s">
        <v>12</v>
      </c>
    </row>
    <row r="8" spans="1:12" ht="45">
      <c r="A8" s="30">
        <v>2</v>
      </c>
      <c r="B8" s="16" t="s">
        <v>37</v>
      </c>
      <c r="C8" s="14" t="s">
        <v>12</v>
      </c>
      <c r="D8" s="14" t="s">
        <v>12</v>
      </c>
      <c r="E8" s="14" t="s">
        <v>12</v>
      </c>
      <c r="F8" s="14" t="s">
        <v>12</v>
      </c>
      <c r="G8" s="14" t="s">
        <v>12</v>
      </c>
    </row>
    <row r="9" spans="1:12" s="23" customFormat="1" ht="15.75">
      <c r="A9" s="31"/>
      <c r="B9" s="29" t="s">
        <v>35</v>
      </c>
      <c r="C9" s="14" t="s">
        <v>12</v>
      </c>
      <c r="D9" s="14" t="s">
        <v>12</v>
      </c>
      <c r="E9" s="14" t="s">
        <v>12</v>
      </c>
      <c r="F9" s="14" t="s">
        <v>12</v>
      </c>
      <c r="G9" s="14" t="s">
        <v>12</v>
      </c>
    </row>
    <row r="10" spans="1:12" ht="45">
      <c r="A10" s="30">
        <v>3</v>
      </c>
      <c r="B10" s="16" t="s">
        <v>38</v>
      </c>
      <c r="C10" s="14" t="s">
        <v>12</v>
      </c>
      <c r="D10" s="14" t="s">
        <v>12</v>
      </c>
      <c r="E10" s="14" t="s">
        <v>12</v>
      </c>
      <c r="F10" s="14" t="s">
        <v>12</v>
      </c>
      <c r="G10" s="14" t="s">
        <v>12</v>
      </c>
      <c r="I10" s="26"/>
    </row>
    <row r="11" spans="1:12" s="23" customFormat="1" ht="15.75">
      <c r="A11" s="31"/>
      <c r="B11" s="29" t="s">
        <v>35</v>
      </c>
      <c r="C11" s="14" t="s">
        <v>12</v>
      </c>
      <c r="D11" s="14" t="s">
        <v>12</v>
      </c>
      <c r="E11" s="14" t="s">
        <v>12</v>
      </c>
      <c r="F11" s="14" t="s">
        <v>12</v>
      </c>
      <c r="G11" s="14" t="s">
        <v>12</v>
      </c>
      <c r="I11" s="27"/>
      <c r="J11" s="27"/>
      <c r="K11" s="27"/>
      <c r="L11" s="27"/>
    </row>
    <row r="12" spans="1:12" ht="60">
      <c r="A12" s="30">
        <v>4</v>
      </c>
      <c r="B12" s="16" t="s">
        <v>39</v>
      </c>
      <c r="C12" s="11">
        <v>0.7</v>
      </c>
      <c r="D12" s="11">
        <v>0.7</v>
      </c>
      <c r="E12" s="14" t="s">
        <v>12</v>
      </c>
      <c r="F12" s="14" t="s">
        <v>12</v>
      </c>
      <c r="G12" s="14" t="s">
        <v>12</v>
      </c>
      <c r="I12" s="33" t="s">
        <v>60</v>
      </c>
      <c r="J12" s="34" t="s">
        <v>48</v>
      </c>
      <c r="K12" s="35" t="s">
        <v>49</v>
      </c>
      <c r="L12" s="35" t="s">
        <v>50</v>
      </c>
    </row>
    <row r="13" spans="1:12" s="26" customFormat="1" ht="15.75">
      <c r="A13" s="32"/>
      <c r="B13" s="29" t="s">
        <v>35</v>
      </c>
      <c r="C13" s="27">
        <f>15719583.509829*70%</f>
        <v>11003708.456880299</v>
      </c>
      <c r="D13" s="24">
        <f>L13*D12</f>
        <v>11003708.456880288</v>
      </c>
      <c r="E13" s="14" t="s">
        <v>12</v>
      </c>
      <c r="F13" s="14" t="s">
        <v>12</v>
      </c>
      <c r="G13" s="14" t="s">
        <v>12</v>
      </c>
      <c r="I13" s="36">
        <v>14500820.84</v>
      </c>
      <c r="J13" s="37">
        <f>(I13*1.8%)+I13</f>
        <v>14761835.615119999</v>
      </c>
      <c r="K13" s="27">
        <f>(J13*4.4%)+J13</f>
        <v>15411356.382185278</v>
      </c>
      <c r="L13" s="27">
        <f>(K13*0.02)+K13</f>
        <v>15719583.509828985</v>
      </c>
    </row>
    <row r="14" spans="1:12" ht="45">
      <c r="A14" s="30">
        <v>5</v>
      </c>
      <c r="B14" s="16" t="s">
        <v>40</v>
      </c>
      <c r="C14" s="11">
        <v>1</v>
      </c>
      <c r="D14" s="11">
        <v>0.85</v>
      </c>
      <c r="E14" s="11">
        <v>0.15</v>
      </c>
      <c r="F14" s="14" t="s">
        <v>12</v>
      </c>
      <c r="G14" s="14" t="s">
        <v>12</v>
      </c>
      <c r="I14" s="36"/>
      <c r="J14" s="36"/>
      <c r="K14" s="27"/>
      <c r="L14" s="27"/>
    </row>
    <row r="15" spans="1:12" s="26" customFormat="1" ht="15.75">
      <c r="A15" s="32"/>
      <c r="B15" s="29" t="s">
        <v>35</v>
      </c>
      <c r="C15" s="26">
        <v>13082993.248744426</v>
      </c>
      <c r="D15" s="24">
        <f>L15*D14</f>
        <v>11120544.261432761</v>
      </c>
      <c r="E15" s="24">
        <f>L15*E14</f>
        <v>1962448.9873116638</v>
      </c>
      <c r="F15" s="14" t="s">
        <v>12</v>
      </c>
      <c r="G15" s="14" t="s">
        <v>12</v>
      </c>
      <c r="I15" s="36">
        <v>12068649.34</v>
      </c>
      <c r="J15" s="36">
        <f>(I15*1.8%)+I15</f>
        <v>12285885.02812</v>
      </c>
      <c r="K15" s="27">
        <f>(J15*4.4%)+J15</f>
        <v>12826463.96935728</v>
      </c>
      <c r="L15" s="27">
        <f>(K15*0.02)+K15</f>
        <v>13082993.248744426</v>
      </c>
    </row>
    <row r="16" spans="1:12" ht="30">
      <c r="A16" s="30">
        <v>6</v>
      </c>
      <c r="B16" s="16" t="s">
        <v>41</v>
      </c>
      <c r="C16" s="11">
        <v>1</v>
      </c>
      <c r="D16" s="11">
        <v>0.36</v>
      </c>
      <c r="E16" s="11">
        <v>0.64</v>
      </c>
      <c r="F16" s="14" t="s">
        <v>12</v>
      </c>
      <c r="G16" s="14" t="s">
        <v>12</v>
      </c>
      <c r="I16" s="27"/>
      <c r="J16" s="36"/>
      <c r="K16" s="27"/>
      <c r="L16" s="27"/>
    </row>
    <row r="17" spans="1:12" s="26" customFormat="1" ht="15.75">
      <c r="A17" s="32"/>
      <c r="B17" s="29" t="s">
        <v>35</v>
      </c>
      <c r="C17" s="28">
        <v>3541923.2858800464</v>
      </c>
      <c r="D17" s="24">
        <f>L17*D16</f>
        <v>1275092.3829168167</v>
      </c>
      <c r="E17" s="24">
        <f>L17*E16</f>
        <v>2266830.9029632299</v>
      </c>
      <c r="F17" s="14" t="s">
        <v>12</v>
      </c>
      <c r="G17" s="14" t="s">
        <v>12</v>
      </c>
      <c r="I17" s="36">
        <v>3267312.71</v>
      </c>
      <c r="J17" s="36">
        <f>(I17*1.8%)+I17</f>
        <v>3326124.3387799999</v>
      </c>
      <c r="K17" s="27">
        <f t="shared" ref="K17:K29" si="0">(J17*4.4%)+J17</f>
        <v>3472473.8096863199</v>
      </c>
      <c r="L17" s="27">
        <f t="shared" ref="L17:L29" si="1">(K17*0.02)+K17</f>
        <v>3541923.2858800464</v>
      </c>
    </row>
    <row r="18" spans="1:12" ht="60">
      <c r="A18" s="30">
        <v>7</v>
      </c>
      <c r="B18" s="16" t="s">
        <v>42</v>
      </c>
      <c r="C18" s="11">
        <v>1</v>
      </c>
      <c r="D18" s="11">
        <v>0.63</v>
      </c>
      <c r="E18" s="11">
        <v>0.37</v>
      </c>
      <c r="F18" s="14" t="s">
        <v>12</v>
      </c>
      <c r="G18" s="14" t="s">
        <v>12</v>
      </c>
      <c r="I18" s="27"/>
      <c r="J18" s="36"/>
      <c r="K18" s="27"/>
      <c r="L18" s="27"/>
    </row>
    <row r="19" spans="1:12" s="26" customFormat="1" ht="15.75">
      <c r="A19" s="32"/>
      <c r="B19" s="29" t="s">
        <v>35</v>
      </c>
      <c r="C19" s="26">
        <v>8922935.8028514683</v>
      </c>
      <c r="D19" s="24">
        <f>L19*D18</f>
        <v>5621449.5557964249</v>
      </c>
      <c r="E19" s="24">
        <f>L19*E18</f>
        <v>3301486.2470550435</v>
      </c>
      <c r="F19" s="14" t="s">
        <v>12</v>
      </c>
      <c r="G19" s="14" t="s">
        <v>12</v>
      </c>
      <c r="I19" s="36">
        <v>8231127.3300000001</v>
      </c>
      <c r="J19" s="36">
        <f>(I19*1.8%)+I19</f>
        <v>8379287.62194</v>
      </c>
      <c r="K19" s="27">
        <f t="shared" si="0"/>
        <v>8747976.2773053609</v>
      </c>
      <c r="L19" s="27">
        <f t="shared" si="1"/>
        <v>8922935.8028514683</v>
      </c>
    </row>
    <row r="20" spans="1:12" ht="30">
      <c r="A20" s="30">
        <v>8</v>
      </c>
      <c r="B20" s="16" t="s">
        <v>43</v>
      </c>
      <c r="C20" s="11">
        <v>1</v>
      </c>
      <c r="D20" s="14" t="s">
        <v>12</v>
      </c>
      <c r="E20" s="11">
        <v>0.57999999999999996</v>
      </c>
      <c r="F20" s="11">
        <v>0.42</v>
      </c>
      <c r="G20" s="14" t="s">
        <v>12</v>
      </c>
      <c r="I20" s="27"/>
      <c r="J20" s="36"/>
      <c r="K20" s="27"/>
      <c r="L20" s="27"/>
    </row>
    <row r="21" spans="1:12" s="26" customFormat="1" ht="15.75">
      <c r="A21" s="32"/>
      <c r="B21" s="29" t="s">
        <v>35</v>
      </c>
      <c r="C21" s="26">
        <v>3560795.6915361746</v>
      </c>
      <c r="D21" s="25" t="s">
        <v>12</v>
      </c>
      <c r="E21" s="24">
        <f>L21*E20</f>
        <v>2065261.5010909811</v>
      </c>
      <c r="F21" s="24">
        <f>L21*F20</f>
        <v>1495534.1904451933</v>
      </c>
      <c r="G21" s="25"/>
      <c r="I21" s="36">
        <v>3284721.91</v>
      </c>
      <c r="J21" s="36">
        <f>(I21*1.8%)+I21</f>
        <v>3343846.9043800002</v>
      </c>
      <c r="K21" s="27">
        <f t="shared" si="0"/>
        <v>3490976.1681727204</v>
      </c>
      <c r="L21" s="27">
        <f t="shared" si="1"/>
        <v>3560795.6915361746</v>
      </c>
    </row>
    <row r="22" spans="1:12" ht="105">
      <c r="A22" s="30">
        <v>9</v>
      </c>
      <c r="B22" s="16" t="s">
        <v>44</v>
      </c>
      <c r="C22" s="11">
        <v>1</v>
      </c>
      <c r="D22" s="14" t="s">
        <v>12</v>
      </c>
      <c r="E22" s="11">
        <v>0.51</v>
      </c>
      <c r="F22" s="11">
        <v>0.49</v>
      </c>
      <c r="G22" s="14" t="s">
        <v>12</v>
      </c>
      <c r="I22" s="27"/>
      <c r="J22" s="36"/>
      <c r="K22" s="27"/>
      <c r="L22" s="27"/>
    </row>
    <row r="23" spans="1:12" s="26" customFormat="1" ht="15.75">
      <c r="A23" s="32"/>
      <c r="B23" s="29" t="s">
        <v>35</v>
      </c>
      <c r="C23" s="26">
        <v>5441151.6536052665</v>
      </c>
      <c r="D23" s="14" t="s">
        <v>12</v>
      </c>
      <c r="E23" s="24">
        <f>L23*E22</f>
        <v>2774987.343338686</v>
      </c>
      <c r="F23" s="24">
        <f>L23*F22</f>
        <v>2666164.3102665804</v>
      </c>
      <c r="G23" s="14" t="s">
        <v>12</v>
      </c>
      <c r="I23" s="36">
        <v>5019291.08</v>
      </c>
      <c r="J23" s="36">
        <f>(I23*1.8%)+I23</f>
        <v>5109638.3194399998</v>
      </c>
      <c r="K23" s="27">
        <f t="shared" si="0"/>
        <v>5334462.4054953596</v>
      </c>
      <c r="L23" s="27">
        <f t="shared" si="1"/>
        <v>5441151.6536052665</v>
      </c>
    </row>
    <row r="24" spans="1:12" ht="30">
      <c r="A24" s="30">
        <v>10</v>
      </c>
      <c r="B24" s="16" t="s">
        <v>45</v>
      </c>
      <c r="C24" s="11">
        <v>1</v>
      </c>
      <c r="D24" s="14" t="s">
        <v>12</v>
      </c>
      <c r="E24" s="14" t="s">
        <v>12</v>
      </c>
      <c r="F24" s="11">
        <v>1</v>
      </c>
      <c r="G24" s="14" t="s">
        <v>12</v>
      </c>
      <c r="I24" s="27"/>
      <c r="J24" s="36"/>
      <c r="K24" s="27"/>
      <c r="L24" s="27"/>
    </row>
    <row r="25" spans="1:12" s="26" customFormat="1" ht="15.75">
      <c r="A25" s="32"/>
      <c r="B25" s="29" t="s">
        <v>35</v>
      </c>
      <c r="C25" s="26">
        <v>463097.70311551192</v>
      </c>
      <c r="D25" s="14" t="s">
        <v>12</v>
      </c>
      <c r="E25" s="14" t="s">
        <v>12</v>
      </c>
      <c r="F25" s="24">
        <f>L25*F24</f>
        <v>463097.70311551192</v>
      </c>
      <c r="G25" s="14" t="s">
        <v>12</v>
      </c>
      <c r="I25" s="36">
        <v>427193.05</v>
      </c>
      <c r="J25" s="36">
        <f>(I25*1.8%)+I25</f>
        <v>434882.52489999996</v>
      </c>
      <c r="K25" s="27">
        <f>(J25*4.4%)+J25</f>
        <v>454017.35599559994</v>
      </c>
      <c r="L25" s="27">
        <f>(K25*0.02)+K25</f>
        <v>463097.70311551192</v>
      </c>
    </row>
    <row r="26" spans="1:12" ht="75">
      <c r="A26" s="30">
        <v>11</v>
      </c>
      <c r="B26" s="16" t="s">
        <v>46</v>
      </c>
      <c r="C26" s="11">
        <v>1</v>
      </c>
      <c r="D26" s="14" t="s">
        <v>12</v>
      </c>
      <c r="E26" s="14" t="s">
        <v>12</v>
      </c>
      <c r="F26" s="11">
        <v>0.71</v>
      </c>
      <c r="G26" s="11">
        <v>0.28999999999999998</v>
      </c>
      <c r="I26" s="27"/>
      <c r="J26" s="36"/>
      <c r="K26" s="27"/>
      <c r="L26" s="27"/>
    </row>
    <row r="27" spans="1:12" s="26" customFormat="1" ht="15.75">
      <c r="A27" s="32"/>
      <c r="B27" s="29" t="s">
        <v>35</v>
      </c>
      <c r="C27" s="26">
        <v>2695681.9690144416</v>
      </c>
      <c r="D27" s="14" t="s">
        <v>12</v>
      </c>
      <c r="E27" s="14" t="s">
        <v>12</v>
      </c>
      <c r="F27" s="24">
        <f>L27*F26</f>
        <v>1913934.1980002534</v>
      </c>
      <c r="G27" s="24">
        <f>L27*G26</f>
        <v>781747.77101418795</v>
      </c>
      <c r="I27" s="36">
        <v>2486681.7400000002</v>
      </c>
      <c r="J27" s="36">
        <f>(I27*1.8%)+I27</f>
        <v>2531442.01132</v>
      </c>
      <c r="K27" s="27">
        <f>(J27*4.4%)+J27</f>
        <v>2642825.4598180801</v>
      </c>
      <c r="L27" s="27">
        <f t="shared" si="1"/>
        <v>2695681.9690144416</v>
      </c>
    </row>
    <row r="28" spans="1:12" ht="45">
      <c r="A28" s="30">
        <v>12</v>
      </c>
      <c r="B28" s="17" t="s">
        <v>47</v>
      </c>
      <c r="C28" s="11">
        <f>F28+G28</f>
        <v>1</v>
      </c>
      <c r="D28" s="14" t="s">
        <v>12</v>
      </c>
      <c r="E28" s="14" t="s">
        <v>12</v>
      </c>
      <c r="F28" s="11">
        <v>0.26</v>
      </c>
      <c r="G28" s="11">
        <v>0.74</v>
      </c>
      <c r="I28" s="27"/>
      <c r="J28" s="36"/>
      <c r="K28" s="27"/>
      <c r="L28" s="27"/>
    </row>
    <row r="29" spans="1:12" s="26" customFormat="1" ht="15.75">
      <c r="A29" s="38"/>
      <c r="B29" s="39" t="s">
        <v>35</v>
      </c>
      <c r="C29" s="40">
        <v>1484997.1563316607</v>
      </c>
      <c r="D29" s="41" t="s">
        <v>12</v>
      </c>
      <c r="E29" s="41" t="s">
        <v>12</v>
      </c>
      <c r="F29" s="42">
        <f>L29*F28</f>
        <v>386099.26064623182</v>
      </c>
      <c r="G29" s="43">
        <f>L29*G28</f>
        <v>1098897.895685429</v>
      </c>
      <c r="I29" s="36">
        <v>1369863.12</v>
      </c>
      <c r="J29" s="36">
        <f>(I29*1.8%)+I29</f>
        <v>1394520.65616</v>
      </c>
      <c r="K29" s="27">
        <f t="shared" si="0"/>
        <v>1455879.56503104</v>
      </c>
      <c r="L29" s="27">
        <f t="shared" si="1"/>
        <v>1484997.1563316607</v>
      </c>
    </row>
    <row r="30" spans="1:12" ht="15.75">
      <c r="A30" s="21"/>
      <c r="B30" s="46" t="s">
        <v>22</v>
      </c>
      <c r="C30" s="47">
        <f>C13+C15+C17+C19+C21+C23++C25+C27+C29</f>
        <v>50197284.9679593</v>
      </c>
      <c r="D30" s="48">
        <f>D13+D15+D17+D19</f>
        <v>29020794.657026291</v>
      </c>
      <c r="E30" s="48">
        <f>E15+E17+E19+E21+E23</f>
        <v>12371014.981759604</v>
      </c>
      <c r="F30" s="49">
        <f>F21+F23+F25+F27+F29</f>
        <v>6924829.6624737699</v>
      </c>
      <c r="G30" s="48">
        <f>G27+G29</f>
        <v>1880645.6666996169</v>
      </c>
    </row>
    <row r="31" spans="1:12">
      <c r="A31" s="22"/>
      <c r="B31" s="9"/>
      <c r="C31" s="9"/>
      <c r="D31" s="9"/>
      <c r="E31" s="9"/>
      <c r="F31" s="9"/>
      <c r="G31" s="10"/>
    </row>
    <row r="32" spans="1:12">
      <c r="B32" s="8"/>
      <c r="C32" s="8"/>
      <c r="D32" s="44"/>
      <c r="E32" s="8"/>
      <c r="F32" s="8"/>
    </row>
    <row r="33" spans="2:6">
      <c r="B33" s="8"/>
      <c r="C33" s="8"/>
      <c r="D33" s="8"/>
      <c r="E33" s="8"/>
      <c r="F33" s="8"/>
    </row>
    <row r="34" spans="2:6">
      <c r="B34" s="8"/>
      <c r="C34" s="8"/>
      <c r="D34" s="8"/>
      <c r="E34" s="8"/>
      <c r="F34" s="8"/>
    </row>
    <row r="35" spans="2:6">
      <c r="B35" s="13">
        <v>40751</v>
      </c>
      <c r="C35" s="8" t="s">
        <v>19</v>
      </c>
      <c r="D35" s="8"/>
      <c r="E35" s="8"/>
      <c r="F35" s="8"/>
    </row>
    <row r="36" spans="2:6">
      <c r="B36" s="13">
        <v>40752</v>
      </c>
      <c r="C36" s="8" t="s">
        <v>20</v>
      </c>
      <c r="D36" s="8"/>
      <c r="E36" s="8"/>
      <c r="F36" s="8"/>
    </row>
    <row r="37" spans="2:6">
      <c r="B37" s="13">
        <v>40753</v>
      </c>
      <c r="C37" s="8" t="s">
        <v>14</v>
      </c>
      <c r="D37" s="8"/>
      <c r="E37" s="8"/>
      <c r="F37" s="8"/>
    </row>
    <row r="38" spans="2:6">
      <c r="B38" s="13">
        <v>40754</v>
      </c>
      <c r="C38" s="8" t="s">
        <v>15</v>
      </c>
      <c r="D38" s="8"/>
      <c r="E38" s="8"/>
      <c r="F38" s="8"/>
    </row>
    <row r="39" spans="2:6">
      <c r="B39" s="13">
        <v>40755</v>
      </c>
      <c r="C39" s="8" t="s">
        <v>16</v>
      </c>
      <c r="D39" s="8"/>
      <c r="E39" s="8"/>
      <c r="F39" s="8"/>
    </row>
    <row r="40" spans="2:6">
      <c r="B40" s="13">
        <v>40756</v>
      </c>
      <c r="C40" s="8" t="s">
        <v>17</v>
      </c>
      <c r="D40" s="8"/>
      <c r="E40" s="8"/>
      <c r="F40" s="8"/>
    </row>
    <row r="41" spans="2:6">
      <c r="B41" s="13">
        <v>40757</v>
      </c>
      <c r="C41" s="8" t="s">
        <v>18</v>
      </c>
      <c r="D41" s="8"/>
      <c r="E41" s="8"/>
      <c r="F41" s="8"/>
    </row>
    <row r="42" spans="2:6">
      <c r="B42" s="13">
        <v>40758</v>
      </c>
      <c r="C42" s="8" t="s">
        <v>19</v>
      </c>
      <c r="D42" s="8"/>
      <c r="E42" s="8"/>
      <c r="F42" s="8"/>
    </row>
    <row r="43" spans="2:6">
      <c r="B43" s="13">
        <v>40759</v>
      </c>
      <c r="C43" s="8" t="s">
        <v>20</v>
      </c>
      <c r="D43" s="8"/>
      <c r="E43" s="8"/>
      <c r="F43" s="8"/>
    </row>
    <row r="44" spans="2:6">
      <c r="B44" s="13">
        <v>40760</v>
      </c>
      <c r="C44" s="8" t="s">
        <v>14</v>
      </c>
      <c r="D44" s="8"/>
      <c r="E44" s="8"/>
      <c r="F44" s="8"/>
    </row>
    <row r="45" spans="2:6">
      <c r="B45" s="13">
        <v>40761</v>
      </c>
      <c r="C45" s="8" t="s">
        <v>15</v>
      </c>
      <c r="D45" s="8"/>
      <c r="E45" s="8"/>
      <c r="F45" s="8"/>
    </row>
    <row r="46" spans="2:6">
      <c r="B46" s="13">
        <v>40762</v>
      </c>
      <c r="C46" s="8" t="s">
        <v>16</v>
      </c>
      <c r="D46" s="8"/>
      <c r="E46" s="8"/>
      <c r="F46" s="8"/>
    </row>
    <row r="47" spans="2:6">
      <c r="B47" s="13">
        <v>40763</v>
      </c>
      <c r="C47" s="8" t="s">
        <v>17</v>
      </c>
      <c r="D47" s="8"/>
      <c r="E47" s="8"/>
      <c r="F47" s="8"/>
    </row>
    <row r="48" spans="2:6">
      <c r="B48" s="13">
        <v>40764</v>
      </c>
      <c r="C48" s="8" t="s">
        <v>18</v>
      </c>
      <c r="D48" s="8"/>
      <c r="E48" s="8"/>
      <c r="F48" s="8"/>
    </row>
    <row r="49" spans="2:6">
      <c r="B49" s="13">
        <v>40765</v>
      </c>
      <c r="C49" s="8" t="s">
        <v>19</v>
      </c>
      <c r="D49" s="8"/>
      <c r="E49" s="8"/>
      <c r="F49" s="8"/>
    </row>
    <row r="50" spans="2:6">
      <c r="B50" s="13">
        <v>40766</v>
      </c>
      <c r="C50" s="8" t="s">
        <v>20</v>
      </c>
      <c r="D50" s="8"/>
      <c r="E50" s="8"/>
      <c r="F50" s="8"/>
    </row>
    <row r="51" spans="2:6">
      <c r="B51" s="13">
        <v>40767</v>
      </c>
      <c r="C51" s="8" t="s">
        <v>14</v>
      </c>
      <c r="D51" s="8"/>
      <c r="E51" s="8"/>
      <c r="F51" s="8"/>
    </row>
    <row r="52" spans="2:6">
      <c r="B52" s="13">
        <v>40768</v>
      </c>
      <c r="C52" s="8" t="s">
        <v>15</v>
      </c>
      <c r="D52" s="8"/>
      <c r="E52" s="8"/>
      <c r="F52" s="8"/>
    </row>
    <row r="53" spans="2:6">
      <c r="B53" s="13">
        <v>40769</v>
      </c>
      <c r="C53" s="8" t="s">
        <v>16</v>
      </c>
      <c r="D53" s="8"/>
      <c r="E53" s="8"/>
      <c r="F53" s="8"/>
    </row>
    <row r="54" spans="2:6">
      <c r="B54" s="13">
        <v>40770</v>
      </c>
      <c r="C54" s="8" t="s">
        <v>17</v>
      </c>
      <c r="D54" s="8"/>
      <c r="E54" s="8"/>
      <c r="F54" s="8"/>
    </row>
    <row r="55" spans="2:6">
      <c r="B55" s="13">
        <v>40771</v>
      </c>
      <c r="C55" s="8" t="s">
        <v>18</v>
      </c>
      <c r="D55" s="8"/>
      <c r="E55" s="8"/>
      <c r="F55" s="8"/>
    </row>
    <row r="56" spans="2:6">
      <c r="B56" s="13">
        <v>40772</v>
      </c>
      <c r="C56" s="8" t="s">
        <v>19</v>
      </c>
    </row>
    <row r="57" spans="2:6">
      <c r="B57" s="13">
        <v>40773</v>
      </c>
      <c r="C57" s="8" t="s">
        <v>20</v>
      </c>
    </row>
    <row r="58" spans="2:6">
      <c r="B58" s="13">
        <v>40774</v>
      </c>
      <c r="C58" s="8" t="s">
        <v>14</v>
      </c>
    </row>
    <row r="59" spans="2:6">
      <c r="B59" s="13">
        <v>40775</v>
      </c>
      <c r="C59" s="8" t="s">
        <v>15</v>
      </c>
    </row>
    <row r="60" spans="2:6">
      <c r="B60" s="13">
        <v>40776</v>
      </c>
      <c r="C60" s="8" t="s">
        <v>16</v>
      </c>
    </row>
    <row r="61" spans="2:6">
      <c r="B61" s="13">
        <v>40777</v>
      </c>
      <c r="C61" s="8" t="s">
        <v>17</v>
      </c>
    </row>
    <row r="62" spans="2:6">
      <c r="B62" s="13">
        <v>40778</v>
      </c>
      <c r="C62" s="8" t="s">
        <v>18</v>
      </c>
    </row>
    <row r="63" spans="2:6">
      <c r="B63" s="13">
        <v>40779</v>
      </c>
      <c r="C63" s="8" t="s">
        <v>19</v>
      </c>
    </row>
    <row r="64" spans="2:6">
      <c r="B64" s="13">
        <v>40780</v>
      </c>
      <c r="C64" s="8" t="s">
        <v>20</v>
      </c>
    </row>
    <row r="65" spans="2:3">
      <c r="B65" s="13">
        <v>40781</v>
      </c>
      <c r="C65" s="8" t="s">
        <v>14</v>
      </c>
    </row>
    <row r="66" spans="2:3">
      <c r="B66" s="13">
        <v>40782</v>
      </c>
      <c r="C66" s="8" t="s">
        <v>15</v>
      </c>
    </row>
    <row r="67" spans="2:3">
      <c r="B67" s="13">
        <v>40783</v>
      </c>
      <c r="C67" s="8" t="s">
        <v>16</v>
      </c>
    </row>
    <row r="68" spans="2:3">
      <c r="B68" s="13">
        <v>40784</v>
      </c>
      <c r="C68" s="8" t="s">
        <v>17</v>
      </c>
    </row>
    <row r="69" spans="2:3">
      <c r="B69" s="13">
        <v>40785</v>
      </c>
      <c r="C69" s="8" t="s">
        <v>18</v>
      </c>
    </row>
    <row r="70" spans="2:3">
      <c r="B70" s="13">
        <v>40786</v>
      </c>
      <c r="C70" s="8" t="s">
        <v>19</v>
      </c>
    </row>
    <row r="71" spans="2:3">
      <c r="B71" s="13">
        <v>40787</v>
      </c>
      <c r="C71" s="8" t="s">
        <v>20</v>
      </c>
    </row>
    <row r="72" spans="2:3">
      <c r="B72" s="13">
        <v>40788</v>
      </c>
      <c r="C72" s="8" t="s">
        <v>14</v>
      </c>
    </row>
    <row r="73" spans="2:3">
      <c r="B73" s="13">
        <v>40789</v>
      </c>
      <c r="C73" s="8" t="s">
        <v>15</v>
      </c>
    </row>
    <row r="74" spans="2:3">
      <c r="B74" s="13">
        <v>40790</v>
      </c>
      <c r="C74" s="8" t="s">
        <v>16</v>
      </c>
    </row>
    <row r="75" spans="2:3">
      <c r="B75" s="13">
        <v>40791</v>
      </c>
      <c r="C75" s="8" t="s">
        <v>17</v>
      </c>
    </row>
    <row r="76" spans="2:3">
      <c r="B76" s="13">
        <v>40792</v>
      </c>
      <c r="C76" s="8" t="s">
        <v>18</v>
      </c>
    </row>
    <row r="77" spans="2:3">
      <c r="B77" s="13">
        <v>40793</v>
      </c>
      <c r="C77" s="8" t="s">
        <v>19</v>
      </c>
    </row>
    <row r="78" spans="2:3">
      <c r="B78" s="13">
        <v>40794</v>
      </c>
      <c r="C78" s="8" t="s">
        <v>20</v>
      </c>
    </row>
    <row r="79" spans="2:3">
      <c r="B79" s="13">
        <v>40795</v>
      </c>
      <c r="C79" s="8" t="s">
        <v>14</v>
      </c>
    </row>
    <row r="80" spans="2:3">
      <c r="B80" s="13">
        <v>40796</v>
      </c>
      <c r="C80" s="8" t="s">
        <v>15</v>
      </c>
    </row>
    <row r="81" spans="2:3">
      <c r="B81" s="13">
        <v>40797</v>
      </c>
      <c r="C81" s="8" t="s">
        <v>16</v>
      </c>
    </row>
    <row r="82" spans="2:3">
      <c r="B82" s="13">
        <v>40798</v>
      </c>
      <c r="C82" s="8" t="s">
        <v>17</v>
      </c>
    </row>
    <row r="83" spans="2:3">
      <c r="B83" s="13">
        <v>40799</v>
      </c>
      <c r="C83" s="8" t="s">
        <v>18</v>
      </c>
    </row>
    <row r="84" spans="2:3">
      <c r="B84" s="13">
        <v>40800</v>
      </c>
      <c r="C84" s="8" t="s">
        <v>19</v>
      </c>
    </row>
    <row r="85" spans="2:3">
      <c r="B85" s="13">
        <v>40801</v>
      </c>
      <c r="C85" s="8" t="s">
        <v>20</v>
      </c>
    </row>
    <row r="86" spans="2:3">
      <c r="B86" s="13">
        <v>40802</v>
      </c>
      <c r="C86" s="8" t="s">
        <v>14</v>
      </c>
    </row>
    <row r="87" spans="2:3">
      <c r="B87" s="13">
        <v>40803</v>
      </c>
      <c r="C87" s="8" t="s">
        <v>15</v>
      </c>
    </row>
    <row r="88" spans="2:3">
      <c r="B88" s="13">
        <v>40804</v>
      </c>
      <c r="C88" s="8" t="s">
        <v>16</v>
      </c>
    </row>
    <row r="89" spans="2:3">
      <c r="B89" s="13">
        <v>40805</v>
      </c>
      <c r="C89" s="8" t="s">
        <v>17</v>
      </c>
    </row>
    <row r="90" spans="2:3">
      <c r="B90" s="13">
        <v>40806</v>
      </c>
      <c r="C90" s="8" t="s">
        <v>18</v>
      </c>
    </row>
    <row r="91" spans="2:3">
      <c r="B91" s="13">
        <v>40807</v>
      </c>
      <c r="C91" s="8" t="s">
        <v>19</v>
      </c>
    </row>
    <row r="92" spans="2:3">
      <c r="B92" s="13">
        <v>40808</v>
      </c>
      <c r="C92" s="8" t="s">
        <v>20</v>
      </c>
    </row>
    <row r="93" spans="2:3">
      <c r="B93" s="13">
        <v>40809</v>
      </c>
      <c r="C93" s="8" t="s">
        <v>14</v>
      </c>
    </row>
    <row r="94" spans="2:3">
      <c r="B94" s="13">
        <v>40810</v>
      </c>
      <c r="C94" s="8" t="s">
        <v>15</v>
      </c>
    </row>
    <row r="95" spans="2:3">
      <c r="B95" s="13">
        <v>40811</v>
      </c>
      <c r="C95" s="8" t="s">
        <v>16</v>
      </c>
    </row>
    <row r="96" spans="2:3">
      <c r="B96" s="13">
        <v>40812</v>
      </c>
      <c r="C96" s="8" t="s">
        <v>17</v>
      </c>
    </row>
    <row r="97" spans="2:3">
      <c r="B97" s="13">
        <v>40813</v>
      </c>
      <c r="C97" s="8" t="s">
        <v>18</v>
      </c>
    </row>
    <row r="98" spans="2:3">
      <c r="B98" s="13">
        <v>40814</v>
      </c>
      <c r="C98" s="8" t="s">
        <v>19</v>
      </c>
    </row>
    <row r="99" spans="2:3">
      <c r="B99" s="13">
        <v>40815</v>
      </c>
      <c r="C99" s="8" t="s">
        <v>20</v>
      </c>
    </row>
    <row r="100" spans="2:3">
      <c r="B100" s="13">
        <v>40816</v>
      </c>
      <c r="C100" s="8" t="s">
        <v>14</v>
      </c>
    </row>
    <row r="101" spans="2:3">
      <c r="B101" s="13">
        <v>40817</v>
      </c>
      <c r="C101" s="8" t="s">
        <v>15</v>
      </c>
    </row>
    <row r="102" spans="2:3">
      <c r="B102" s="13">
        <v>40818</v>
      </c>
      <c r="C102" s="8" t="s">
        <v>16</v>
      </c>
    </row>
    <row r="103" spans="2:3">
      <c r="B103" s="13">
        <v>40819</v>
      </c>
      <c r="C103" s="8" t="s">
        <v>17</v>
      </c>
    </row>
    <row r="104" spans="2:3">
      <c r="B104" s="13">
        <v>40820</v>
      </c>
      <c r="C104" s="8" t="s">
        <v>18</v>
      </c>
    </row>
    <row r="105" spans="2:3">
      <c r="B105" s="13">
        <v>40821</v>
      </c>
      <c r="C105" s="8" t="s">
        <v>19</v>
      </c>
    </row>
    <row r="106" spans="2:3">
      <c r="B106" s="13">
        <v>40822</v>
      </c>
      <c r="C106" s="8" t="s">
        <v>20</v>
      </c>
    </row>
    <row r="107" spans="2:3">
      <c r="B107" s="13">
        <v>40823</v>
      </c>
      <c r="C107" s="8" t="s">
        <v>14</v>
      </c>
    </row>
    <row r="108" spans="2:3">
      <c r="B108" s="13">
        <v>40824</v>
      </c>
      <c r="C108" s="8" t="s">
        <v>15</v>
      </c>
    </row>
    <row r="109" spans="2:3">
      <c r="B109" s="13">
        <v>40825</v>
      </c>
      <c r="C109" s="8" t="s">
        <v>16</v>
      </c>
    </row>
    <row r="110" spans="2:3">
      <c r="B110" s="13">
        <v>40826</v>
      </c>
      <c r="C110" s="8" t="s">
        <v>17</v>
      </c>
    </row>
    <row r="111" spans="2:3">
      <c r="B111" s="13">
        <v>40827</v>
      </c>
      <c r="C111" s="8" t="s">
        <v>18</v>
      </c>
    </row>
    <row r="112" spans="2:3">
      <c r="B112" s="13">
        <v>40828</v>
      </c>
      <c r="C112" s="8" t="s">
        <v>19</v>
      </c>
    </row>
    <row r="113" spans="2:3">
      <c r="B113" s="13">
        <v>40829</v>
      </c>
      <c r="C113" s="8" t="s">
        <v>20</v>
      </c>
    </row>
    <row r="114" spans="2:3">
      <c r="B114" s="13">
        <v>40830</v>
      </c>
      <c r="C114" s="8" t="s">
        <v>14</v>
      </c>
    </row>
    <row r="115" spans="2:3">
      <c r="B115" s="13">
        <v>40831</v>
      </c>
      <c r="C115" s="8" t="s">
        <v>15</v>
      </c>
    </row>
    <row r="116" spans="2:3">
      <c r="B116" s="13">
        <v>40832</v>
      </c>
      <c r="C116" s="8" t="s">
        <v>16</v>
      </c>
    </row>
    <row r="117" spans="2:3">
      <c r="B117" s="13">
        <v>40833</v>
      </c>
      <c r="C117" s="8" t="s">
        <v>17</v>
      </c>
    </row>
    <row r="118" spans="2:3">
      <c r="B118" s="13">
        <v>40834</v>
      </c>
      <c r="C118" s="8" t="s">
        <v>18</v>
      </c>
    </row>
    <row r="119" spans="2:3">
      <c r="B119" s="13">
        <v>40835</v>
      </c>
      <c r="C119" s="8" t="s">
        <v>19</v>
      </c>
    </row>
    <row r="120" spans="2:3">
      <c r="B120" s="13">
        <v>40836</v>
      </c>
      <c r="C120" s="8" t="s">
        <v>20</v>
      </c>
    </row>
    <row r="121" spans="2:3">
      <c r="B121" s="13">
        <v>40837</v>
      </c>
      <c r="C121" s="8" t="s">
        <v>14</v>
      </c>
    </row>
    <row r="122" spans="2:3">
      <c r="B122" s="13">
        <v>40838</v>
      </c>
      <c r="C122" s="8" t="s">
        <v>15</v>
      </c>
    </row>
    <row r="123" spans="2:3">
      <c r="B123" s="13">
        <v>40839</v>
      </c>
      <c r="C123" s="8" t="s">
        <v>16</v>
      </c>
    </row>
    <row r="124" spans="2:3">
      <c r="B124" s="13">
        <v>40840</v>
      </c>
      <c r="C124" s="8" t="s">
        <v>17</v>
      </c>
    </row>
    <row r="125" spans="2:3">
      <c r="B125" s="13">
        <v>40841</v>
      </c>
      <c r="C125" s="8" t="s">
        <v>18</v>
      </c>
    </row>
    <row r="126" spans="2:3">
      <c r="B126" s="13">
        <v>40842</v>
      </c>
      <c r="C126" s="8" t="s">
        <v>19</v>
      </c>
    </row>
    <row r="127" spans="2:3">
      <c r="B127" s="13">
        <v>40843</v>
      </c>
      <c r="C127" s="8" t="s">
        <v>20</v>
      </c>
    </row>
    <row r="128" spans="2:3">
      <c r="B128" s="13">
        <v>40844</v>
      </c>
      <c r="C128" s="8" t="s">
        <v>14</v>
      </c>
    </row>
    <row r="129" spans="2:3">
      <c r="B129" s="13">
        <v>40845</v>
      </c>
      <c r="C129" s="8" t="s">
        <v>15</v>
      </c>
    </row>
    <row r="130" spans="2:3">
      <c r="B130" s="13">
        <v>40846</v>
      </c>
      <c r="C130" s="8" t="s">
        <v>16</v>
      </c>
    </row>
    <row r="131" spans="2:3">
      <c r="B131" s="13">
        <v>40847</v>
      </c>
      <c r="C131" s="8" t="s">
        <v>17</v>
      </c>
    </row>
    <row r="132" spans="2:3">
      <c r="B132" s="13">
        <v>40848</v>
      </c>
      <c r="C132" s="8" t="s">
        <v>18</v>
      </c>
    </row>
    <row r="133" spans="2:3">
      <c r="B133" s="13">
        <v>40849</v>
      </c>
      <c r="C133" s="8" t="s">
        <v>19</v>
      </c>
    </row>
    <row r="134" spans="2:3">
      <c r="B134" s="13">
        <v>40850</v>
      </c>
      <c r="C134" s="8" t="s">
        <v>20</v>
      </c>
    </row>
    <row r="135" spans="2:3">
      <c r="B135" s="13">
        <v>40851</v>
      </c>
      <c r="C135" s="8" t="s">
        <v>14</v>
      </c>
    </row>
    <row r="136" spans="2:3">
      <c r="B136" s="13">
        <v>40852</v>
      </c>
      <c r="C136" s="8" t="s">
        <v>15</v>
      </c>
    </row>
    <row r="137" spans="2:3">
      <c r="B137" s="13">
        <v>40853</v>
      </c>
      <c r="C137" s="8" t="s">
        <v>16</v>
      </c>
    </row>
    <row r="138" spans="2:3">
      <c r="B138" s="13">
        <v>40854</v>
      </c>
      <c r="C138" s="8" t="s">
        <v>17</v>
      </c>
    </row>
    <row r="139" spans="2:3">
      <c r="B139" s="13">
        <v>40855</v>
      </c>
      <c r="C139" s="8" t="s">
        <v>18</v>
      </c>
    </row>
    <row r="140" spans="2:3">
      <c r="B140" s="13">
        <v>40856</v>
      </c>
      <c r="C140" s="8" t="s">
        <v>19</v>
      </c>
    </row>
    <row r="141" spans="2:3">
      <c r="B141" s="13">
        <v>40857</v>
      </c>
      <c r="C141" s="8" t="s">
        <v>20</v>
      </c>
    </row>
    <row r="142" spans="2:3">
      <c r="B142" s="13">
        <v>40858</v>
      </c>
      <c r="C142" s="8" t="s">
        <v>14</v>
      </c>
    </row>
    <row r="143" spans="2:3">
      <c r="B143" s="13">
        <v>40859</v>
      </c>
      <c r="C143" s="8" t="s">
        <v>15</v>
      </c>
    </row>
    <row r="144" spans="2:3">
      <c r="B144" s="13">
        <v>40860</v>
      </c>
      <c r="C144" s="8" t="s">
        <v>16</v>
      </c>
    </row>
    <row r="145" spans="2:3">
      <c r="B145" s="13">
        <v>40861</v>
      </c>
      <c r="C145" s="8" t="s">
        <v>17</v>
      </c>
    </row>
    <row r="146" spans="2:3">
      <c r="B146" s="13">
        <v>40862</v>
      </c>
      <c r="C146" s="8" t="s">
        <v>18</v>
      </c>
    </row>
    <row r="147" spans="2:3">
      <c r="B147" s="13">
        <v>40863</v>
      </c>
      <c r="C147" s="8" t="s">
        <v>19</v>
      </c>
    </row>
    <row r="148" spans="2:3">
      <c r="B148" s="13">
        <v>40864</v>
      </c>
      <c r="C148" s="8" t="s">
        <v>20</v>
      </c>
    </row>
    <row r="149" spans="2:3">
      <c r="B149" s="13">
        <v>40865</v>
      </c>
      <c r="C149" s="8" t="s">
        <v>14</v>
      </c>
    </row>
    <row r="150" spans="2:3">
      <c r="B150" s="13">
        <v>40866</v>
      </c>
      <c r="C150" s="8" t="s">
        <v>15</v>
      </c>
    </row>
    <row r="151" spans="2:3">
      <c r="B151" s="13">
        <v>40867</v>
      </c>
      <c r="C151" s="8" t="s">
        <v>16</v>
      </c>
    </row>
    <row r="152" spans="2:3">
      <c r="B152" s="13">
        <v>40868</v>
      </c>
      <c r="C152" s="8" t="s">
        <v>17</v>
      </c>
    </row>
    <row r="153" spans="2:3">
      <c r="B153" s="13">
        <v>40869</v>
      </c>
      <c r="C153" s="8" t="s">
        <v>18</v>
      </c>
    </row>
    <row r="154" spans="2:3">
      <c r="B154" s="13">
        <v>40870</v>
      </c>
      <c r="C154" s="8" t="s">
        <v>19</v>
      </c>
    </row>
    <row r="155" spans="2:3">
      <c r="B155" s="13">
        <v>40871</v>
      </c>
      <c r="C155" s="8" t="s">
        <v>20</v>
      </c>
    </row>
    <row r="156" spans="2:3">
      <c r="B156" s="13">
        <v>40872</v>
      </c>
      <c r="C156" s="8" t="s">
        <v>14</v>
      </c>
    </row>
    <row r="157" spans="2:3">
      <c r="B157" s="13">
        <v>40873</v>
      </c>
      <c r="C157" s="8" t="s">
        <v>15</v>
      </c>
    </row>
    <row r="158" spans="2:3">
      <c r="B158" s="13">
        <v>40874</v>
      </c>
      <c r="C158" s="8" t="s">
        <v>16</v>
      </c>
    </row>
    <row r="159" spans="2:3">
      <c r="B159" s="13">
        <v>40875</v>
      </c>
      <c r="C159" s="8" t="s">
        <v>17</v>
      </c>
    </row>
    <row r="160" spans="2:3">
      <c r="B160" s="13">
        <v>40876</v>
      </c>
      <c r="C160" s="8" t="s">
        <v>18</v>
      </c>
    </row>
    <row r="161" spans="2:3">
      <c r="B161" s="13"/>
      <c r="C161" s="8"/>
    </row>
    <row r="162" spans="2:3">
      <c r="B162" s="13"/>
      <c r="C162" s="8"/>
    </row>
    <row r="163" spans="2:3">
      <c r="B163" s="13"/>
      <c r="C163" s="8"/>
    </row>
    <row r="164" spans="2:3">
      <c r="B164" s="13"/>
      <c r="C164" s="8"/>
    </row>
    <row r="165" spans="2:3">
      <c r="B165" s="13"/>
      <c r="C165" s="8"/>
    </row>
    <row r="166" spans="2:3">
      <c r="B166" s="13"/>
      <c r="C166" s="8"/>
    </row>
    <row r="167" spans="2:3">
      <c r="B167" s="13"/>
      <c r="C167" s="8"/>
    </row>
    <row r="168" spans="2:3">
      <c r="B168" s="13"/>
      <c r="C168" s="8"/>
    </row>
    <row r="169" spans="2:3">
      <c r="B169" s="13"/>
      <c r="C169" s="8"/>
    </row>
    <row r="170" spans="2:3">
      <c r="B170" s="13"/>
      <c r="C170" s="8"/>
    </row>
    <row r="171" spans="2:3">
      <c r="B171" s="13"/>
      <c r="C171" s="8"/>
    </row>
    <row r="172" spans="2:3">
      <c r="B172" s="13"/>
      <c r="C172" s="8"/>
    </row>
    <row r="173" spans="2:3">
      <c r="B173" s="13"/>
      <c r="C173" s="8"/>
    </row>
    <row r="174" spans="2:3">
      <c r="B174" s="13"/>
      <c r="C174" s="8"/>
    </row>
    <row r="175" spans="2:3">
      <c r="B175" s="13"/>
      <c r="C175" s="8"/>
    </row>
    <row r="176" spans="2:3">
      <c r="B176" s="13"/>
      <c r="C176" s="8"/>
    </row>
    <row r="177" spans="2:3">
      <c r="B177" s="13"/>
      <c r="C177" s="8"/>
    </row>
    <row r="178" spans="2:3">
      <c r="B178" s="13"/>
      <c r="C178" s="8"/>
    </row>
    <row r="179" spans="2:3">
      <c r="B179" s="13"/>
      <c r="C179" s="8"/>
    </row>
    <row r="180" spans="2:3">
      <c r="B180" s="13"/>
      <c r="C180" s="8"/>
    </row>
    <row r="181" spans="2:3">
      <c r="B181" s="13"/>
      <c r="C181" s="8"/>
    </row>
    <row r="182" spans="2:3">
      <c r="B182" s="13"/>
      <c r="C182" s="8"/>
    </row>
    <row r="183" spans="2:3">
      <c r="B183" s="13"/>
      <c r="C183" s="8"/>
    </row>
  </sheetData>
  <mergeCells count="5">
    <mergeCell ref="B2:G2"/>
    <mergeCell ref="B4:B5"/>
    <mergeCell ref="C4:C5"/>
    <mergeCell ref="D4:G4"/>
    <mergeCell ref="B1:G1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C9" sqref="C9"/>
    </sheetView>
  </sheetViews>
  <sheetFormatPr defaultRowHeight="15"/>
  <cols>
    <col min="1" max="1" width="5" style="153" customWidth="1"/>
    <col min="2" max="2" width="30" style="104" customWidth="1"/>
    <col min="3" max="7" width="16.5703125" style="45" customWidth="1"/>
  </cols>
  <sheetData>
    <row r="1" spans="1:7" ht="15.75">
      <c r="A1" s="201"/>
      <c r="B1" s="106"/>
      <c r="C1" s="52"/>
      <c r="D1" s="53"/>
      <c r="E1" s="52"/>
      <c r="F1" s="52"/>
      <c r="G1" s="52"/>
    </row>
    <row r="2" spans="1:7" ht="15.75">
      <c r="A2" s="236" t="s">
        <v>65</v>
      </c>
      <c r="B2" s="236"/>
      <c r="C2" s="236"/>
      <c r="D2" s="236"/>
      <c r="E2" s="236"/>
      <c r="F2" s="236"/>
      <c r="G2" s="236"/>
    </row>
    <row r="3" spans="1:7" ht="15.75">
      <c r="A3" s="237" t="s">
        <v>51</v>
      </c>
      <c r="B3" s="238" t="s">
        <v>52</v>
      </c>
      <c r="C3" s="239" t="s">
        <v>53</v>
      </c>
      <c r="D3" s="239" t="s">
        <v>54</v>
      </c>
      <c r="E3" s="239"/>
      <c r="F3" s="239"/>
      <c r="G3" s="239"/>
    </row>
    <row r="4" spans="1:7" ht="15.75">
      <c r="A4" s="237"/>
      <c r="B4" s="238"/>
      <c r="C4" s="239"/>
      <c r="D4" s="15" t="s">
        <v>8</v>
      </c>
      <c r="E4" s="15" t="s">
        <v>9</v>
      </c>
      <c r="F4" s="15" t="s">
        <v>10</v>
      </c>
      <c r="G4" s="15" t="s">
        <v>11</v>
      </c>
    </row>
    <row r="5" spans="1:7" ht="15.75">
      <c r="A5" s="142">
        <v>1</v>
      </c>
      <c r="B5" s="107" t="s">
        <v>22</v>
      </c>
      <c r="C5" s="195">
        <v>50197284.9679593</v>
      </c>
      <c r="D5" s="196">
        <v>29020794.657026291</v>
      </c>
      <c r="E5" s="196">
        <v>12371014.981759604</v>
      </c>
      <c r="F5" s="197">
        <v>6924829.6624737699</v>
      </c>
      <c r="G5" s="196">
        <v>1880645.6666996169</v>
      </c>
    </row>
    <row r="6" spans="1:7" ht="15.75">
      <c r="A6" s="142">
        <v>2</v>
      </c>
      <c r="B6" s="108" t="s">
        <v>55</v>
      </c>
      <c r="C6" s="195">
        <v>50197284.9679593</v>
      </c>
      <c r="D6" s="196">
        <v>29020794.657026291</v>
      </c>
      <c r="E6" s="196">
        <v>12371014.981759604</v>
      </c>
      <c r="F6" s="197">
        <v>6924829.6624737699</v>
      </c>
      <c r="G6" s="196">
        <v>1880645.6666996169</v>
      </c>
    </row>
    <row r="7" spans="1:7" ht="31.5">
      <c r="A7" s="142">
        <v>3</v>
      </c>
      <c r="B7" s="108" t="s">
        <v>56</v>
      </c>
      <c r="C7" s="198">
        <f>C6-C8</f>
        <v>46016605.842613198</v>
      </c>
      <c r="D7" s="196">
        <v>29020794.657026291</v>
      </c>
      <c r="E7" s="196">
        <v>12371014.981759604</v>
      </c>
      <c r="F7" s="198">
        <f>F6-F8</f>
        <v>4624796.2038272843</v>
      </c>
      <c r="G7" s="196"/>
    </row>
    <row r="8" spans="1:7" ht="78.75">
      <c r="A8" s="142">
        <v>4</v>
      </c>
      <c r="B8" s="108" t="s">
        <v>57</v>
      </c>
      <c r="C8" s="198">
        <f>C9+C10</f>
        <v>4180679.1253461023</v>
      </c>
      <c r="D8" s="95" t="s">
        <v>12</v>
      </c>
      <c r="E8" s="95" t="s">
        <v>12</v>
      </c>
      <c r="F8" s="198">
        <f>F9+F10</f>
        <v>2300033.4586464851</v>
      </c>
      <c r="G8" s="198">
        <f>G9+G10</f>
        <v>1880645.6666996169</v>
      </c>
    </row>
    <row r="9" spans="1:7" ht="105">
      <c r="A9" s="202" t="s">
        <v>58</v>
      </c>
      <c r="B9" s="109" t="s">
        <v>33</v>
      </c>
      <c r="C9" s="194">
        <v>2695681.9690144416</v>
      </c>
      <c r="D9" s="199" t="s">
        <v>12</v>
      </c>
      <c r="E9" s="199" t="s">
        <v>12</v>
      </c>
      <c r="F9" s="200">
        <v>1913934.1980002534</v>
      </c>
      <c r="G9" s="200">
        <v>781747.77101418795</v>
      </c>
    </row>
    <row r="10" spans="1:7" ht="60">
      <c r="A10" s="202" t="s">
        <v>59</v>
      </c>
      <c r="B10" s="110" t="s">
        <v>34</v>
      </c>
      <c r="C10" s="200">
        <v>1484997.1563316607</v>
      </c>
      <c r="D10" s="199" t="s">
        <v>12</v>
      </c>
      <c r="E10" s="199" t="s">
        <v>12</v>
      </c>
      <c r="F10" s="200">
        <v>386099.26064623182</v>
      </c>
      <c r="G10" s="200">
        <v>1098897.895685429</v>
      </c>
    </row>
  </sheetData>
  <mergeCells count="5">
    <mergeCell ref="A2:G2"/>
    <mergeCell ref="A3:A4"/>
    <mergeCell ref="B3:B4"/>
    <mergeCell ref="C3:C4"/>
    <mergeCell ref="D3:G3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4"/>
  <sheetViews>
    <sheetView topLeftCell="A10" workbookViewId="0">
      <selection activeCell="J8" sqref="J8"/>
    </sheetView>
  </sheetViews>
  <sheetFormatPr defaultRowHeight="15.75"/>
  <cols>
    <col min="1" max="1" width="3.28515625" style="18" customWidth="1"/>
    <col min="2" max="2" width="37.140625" style="104" customWidth="1"/>
    <col min="3" max="3" width="10.28515625" customWidth="1"/>
    <col min="4" max="4" width="7.5703125" style="60" customWidth="1"/>
    <col min="5" max="8" width="7.5703125" customWidth="1"/>
  </cols>
  <sheetData>
    <row r="1" spans="1:8" ht="15">
      <c r="B1" s="241" t="s">
        <v>64</v>
      </c>
      <c r="C1" s="241"/>
      <c r="D1" s="241"/>
      <c r="E1" s="241"/>
      <c r="F1" s="241"/>
      <c r="G1" s="241"/>
      <c r="H1" s="241"/>
    </row>
    <row r="2" spans="1:8" ht="21" customHeight="1"/>
    <row r="3" spans="1:8">
      <c r="A3" s="240" t="s">
        <v>51</v>
      </c>
      <c r="B3" s="238" t="s">
        <v>62</v>
      </c>
      <c r="C3" s="239" t="s">
        <v>63</v>
      </c>
      <c r="D3" s="239" t="s">
        <v>53</v>
      </c>
      <c r="E3" s="239" t="s">
        <v>54</v>
      </c>
      <c r="F3" s="239"/>
      <c r="G3" s="239"/>
      <c r="H3" s="239"/>
    </row>
    <row r="4" spans="1:8">
      <c r="A4" s="240"/>
      <c r="B4" s="238"/>
      <c r="C4" s="239"/>
      <c r="D4" s="239"/>
      <c r="E4" s="15" t="s">
        <v>8</v>
      </c>
      <c r="F4" s="15" t="s">
        <v>9</v>
      </c>
      <c r="G4" s="15" t="s">
        <v>10</v>
      </c>
      <c r="H4" s="15" t="s">
        <v>11</v>
      </c>
    </row>
    <row r="5" spans="1:8" ht="90">
      <c r="A5" s="50">
        <v>1</v>
      </c>
      <c r="B5" s="105" t="s">
        <v>23</v>
      </c>
      <c r="C5" s="57" t="s">
        <v>67</v>
      </c>
      <c r="D5" s="51" t="s">
        <v>12</v>
      </c>
      <c r="E5" s="51" t="s">
        <v>12</v>
      </c>
      <c r="F5" s="51" t="s">
        <v>12</v>
      </c>
      <c r="G5" s="51" t="s">
        <v>12</v>
      </c>
      <c r="H5" s="51" t="s">
        <v>12</v>
      </c>
    </row>
    <row r="6" spans="1:8" ht="75">
      <c r="A6" s="50">
        <v>2</v>
      </c>
      <c r="B6" s="105" t="s">
        <v>24</v>
      </c>
      <c r="C6" s="57" t="s">
        <v>68</v>
      </c>
      <c r="D6" s="51" t="s">
        <v>12</v>
      </c>
      <c r="E6" s="51" t="s">
        <v>12</v>
      </c>
      <c r="F6" s="51" t="s">
        <v>12</v>
      </c>
      <c r="G6" s="51" t="s">
        <v>12</v>
      </c>
      <c r="H6" s="51" t="s">
        <v>12</v>
      </c>
    </row>
    <row r="7" spans="1:8" ht="45">
      <c r="A7" s="50">
        <v>3</v>
      </c>
      <c r="B7" s="105" t="s">
        <v>25</v>
      </c>
      <c r="C7" s="57" t="s">
        <v>67</v>
      </c>
      <c r="D7" s="51" t="s">
        <v>12</v>
      </c>
      <c r="E7" s="51" t="s">
        <v>12</v>
      </c>
      <c r="F7" s="51" t="s">
        <v>12</v>
      </c>
      <c r="G7" s="51" t="s">
        <v>12</v>
      </c>
      <c r="H7" s="51" t="s">
        <v>12</v>
      </c>
    </row>
    <row r="8" spans="1:8" ht="75">
      <c r="A8" s="50">
        <v>4</v>
      </c>
      <c r="B8" s="105" t="s">
        <v>26</v>
      </c>
      <c r="C8" s="57" t="s">
        <v>69</v>
      </c>
      <c r="D8" s="61">
        <f>88.2*70%</f>
        <v>61.739999999999995</v>
      </c>
      <c r="E8" s="61">
        <f>88.2*70%</f>
        <v>61.739999999999995</v>
      </c>
      <c r="F8" s="51" t="s">
        <v>12</v>
      </c>
      <c r="G8" s="51" t="s">
        <v>12</v>
      </c>
      <c r="H8" s="51" t="s">
        <v>12</v>
      </c>
    </row>
    <row r="9" spans="1:8" ht="60.75" thickBot="1">
      <c r="A9" s="50">
        <v>5</v>
      </c>
      <c r="B9" s="105" t="s">
        <v>27</v>
      </c>
      <c r="C9" s="57" t="s">
        <v>69</v>
      </c>
      <c r="D9" s="61">
        <v>155.11000000000001</v>
      </c>
      <c r="E9" s="51">
        <f>155.11*85%</f>
        <v>131.84350000000001</v>
      </c>
      <c r="F9" s="51">
        <f>155.11*15%</f>
        <v>23.266500000000001</v>
      </c>
      <c r="G9" s="51" t="s">
        <v>12</v>
      </c>
      <c r="H9" s="51" t="s">
        <v>12</v>
      </c>
    </row>
    <row r="10" spans="1:8" ht="90.75" thickBot="1">
      <c r="A10" s="50">
        <v>6</v>
      </c>
      <c r="B10" s="105" t="s">
        <v>28</v>
      </c>
      <c r="C10" s="57" t="s">
        <v>70</v>
      </c>
      <c r="D10" s="62">
        <v>1.42</v>
      </c>
      <c r="E10" s="51">
        <f>1.42*36%</f>
        <v>0.51119999999999999</v>
      </c>
      <c r="F10" s="51">
        <v>0.90880000000000005</v>
      </c>
      <c r="G10" s="51" t="s">
        <v>12</v>
      </c>
      <c r="H10" s="51" t="s">
        <v>12</v>
      </c>
    </row>
    <row r="11" spans="1:8" ht="60.75" thickBot="1">
      <c r="A11" s="50">
        <v>7</v>
      </c>
      <c r="B11" s="105" t="s">
        <v>29</v>
      </c>
      <c r="C11" s="57" t="s">
        <v>71</v>
      </c>
      <c r="D11" s="62">
        <v>4.51</v>
      </c>
      <c r="E11" s="51">
        <f>4.51*63%</f>
        <v>2.8412999999999999</v>
      </c>
      <c r="F11" s="51">
        <f>4.51*37%</f>
        <v>1.6686999999999999</v>
      </c>
      <c r="G11" s="51" t="s">
        <v>12</v>
      </c>
      <c r="H11" s="51" t="s">
        <v>12</v>
      </c>
    </row>
    <row r="12" spans="1:8" ht="45.75" thickBot="1">
      <c r="A12" s="50">
        <v>8</v>
      </c>
      <c r="B12" s="105" t="s">
        <v>30</v>
      </c>
      <c r="C12" s="57" t="s">
        <v>72</v>
      </c>
      <c r="D12" s="62">
        <v>566.09</v>
      </c>
      <c r="E12" s="51" t="s">
        <v>12</v>
      </c>
      <c r="F12" s="51">
        <f>566.09*58%</f>
        <v>328.3322</v>
      </c>
      <c r="G12" s="51">
        <f>566.09*42%</f>
        <v>237.7578</v>
      </c>
      <c r="H12" s="51" t="s">
        <v>12</v>
      </c>
    </row>
    <row r="13" spans="1:8" ht="105.75" thickBot="1">
      <c r="A13" s="50">
        <v>9</v>
      </c>
      <c r="B13" s="105" t="s">
        <v>31</v>
      </c>
      <c r="C13" s="57" t="s">
        <v>73</v>
      </c>
      <c r="D13" s="62">
        <v>98.7</v>
      </c>
      <c r="E13" s="51" t="s">
        <v>12</v>
      </c>
      <c r="F13" s="51">
        <f>98.7*51%</f>
        <v>50.337000000000003</v>
      </c>
      <c r="G13" s="51">
        <f>98.7*49%</f>
        <v>48.363</v>
      </c>
      <c r="H13" s="51" t="s">
        <v>12</v>
      </c>
    </row>
    <row r="14" spans="1:8" ht="30">
      <c r="A14" s="50">
        <v>10</v>
      </c>
      <c r="B14" s="105" t="s">
        <v>32</v>
      </c>
      <c r="C14" s="57" t="s">
        <v>74</v>
      </c>
      <c r="D14" s="62">
        <v>29.74</v>
      </c>
      <c r="E14" s="51" t="s">
        <v>12</v>
      </c>
      <c r="F14" s="51" t="s">
        <v>12</v>
      </c>
      <c r="G14" s="62">
        <v>29.74</v>
      </c>
      <c r="H14" s="51" t="s">
        <v>12</v>
      </c>
    </row>
  </sheetData>
  <mergeCells count="6">
    <mergeCell ref="A3:A4"/>
    <mergeCell ref="B1:H1"/>
    <mergeCell ref="B3:B4"/>
    <mergeCell ref="C3:C4"/>
    <mergeCell ref="D3:D4"/>
    <mergeCell ref="E3:H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18"/>
  <sheetViews>
    <sheetView topLeftCell="A13" workbookViewId="0">
      <selection activeCell="O22" sqref="O22"/>
    </sheetView>
  </sheetViews>
  <sheetFormatPr defaultRowHeight="15"/>
  <cols>
    <col min="1" max="1" width="3.42578125" style="45" customWidth="1"/>
    <col min="2" max="2" width="13.7109375" style="65" customWidth="1"/>
    <col min="3" max="3" width="6.85546875" style="45" customWidth="1"/>
    <col min="4" max="8" width="5.7109375" style="45" customWidth="1"/>
    <col min="9" max="9" width="8" style="45" customWidth="1"/>
    <col min="10" max="10" width="8.5703125" style="45" customWidth="1"/>
    <col min="11" max="12" width="9.28515625" style="45" customWidth="1"/>
    <col min="13" max="14" width="6.42578125" style="45" customWidth="1"/>
    <col min="15" max="16" width="9.7109375" style="45" customWidth="1"/>
    <col min="17" max="17" width="11.5703125" style="45" customWidth="1"/>
    <col min="18" max="21" width="9.7109375" style="45" customWidth="1"/>
  </cols>
  <sheetData>
    <row r="1" spans="1:21">
      <c r="A1" s="240" t="s">
        <v>90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</row>
    <row r="2" spans="1:21">
      <c r="A2" s="242" t="s">
        <v>51</v>
      </c>
      <c r="B2" s="243" t="s">
        <v>75</v>
      </c>
      <c r="C2" s="242" t="s">
        <v>76</v>
      </c>
      <c r="D2" s="242" t="s">
        <v>77</v>
      </c>
      <c r="E2" s="242" t="s">
        <v>54</v>
      </c>
      <c r="F2" s="242"/>
      <c r="G2" s="242"/>
      <c r="H2" s="242"/>
      <c r="I2" s="242" t="s">
        <v>78</v>
      </c>
      <c r="J2" s="242" t="s">
        <v>79</v>
      </c>
      <c r="K2" s="242" t="s">
        <v>54</v>
      </c>
      <c r="L2" s="242"/>
      <c r="M2" s="242"/>
      <c r="N2" s="242"/>
      <c r="O2" s="242" t="s">
        <v>80</v>
      </c>
      <c r="P2" s="242" t="s">
        <v>81</v>
      </c>
      <c r="Q2" s="242" t="s">
        <v>82</v>
      </c>
      <c r="R2" s="242" t="s">
        <v>54</v>
      </c>
      <c r="S2" s="242"/>
      <c r="T2" s="242"/>
      <c r="U2" s="242"/>
    </row>
    <row r="3" spans="1:21" ht="109.5" customHeight="1">
      <c r="A3" s="242"/>
      <c r="B3" s="243"/>
      <c r="C3" s="242"/>
      <c r="D3" s="242"/>
      <c r="E3" s="63" t="s">
        <v>83</v>
      </c>
      <c r="F3" s="63" t="s">
        <v>84</v>
      </c>
      <c r="G3" s="63" t="s">
        <v>85</v>
      </c>
      <c r="H3" s="63" t="s">
        <v>86</v>
      </c>
      <c r="I3" s="242"/>
      <c r="J3" s="242"/>
      <c r="K3" s="63" t="s">
        <v>83</v>
      </c>
      <c r="L3" s="63" t="s">
        <v>84</v>
      </c>
      <c r="M3" s="63" t="s">
        <v>85</v>
      </c>
      <c r="N3" s="63" t="s">
        <v>86</v>
      </c>
      <c r="O3" s="242"/>
      <c r="P3" s="242"/>
      <c r="Q3" s="242"/>
      <c r="R3" s="63" t="s">
        <v>83</v>
      </c>
      <c r="S3" s="63" t="s">
        <v>84</v>
      </c>
      <c r="T3" s="63" t="s">
        <v>85</v>
      </c>
      <c r="U3" s="63" t="s">
        <v>86</v>
      </c>
    </row>
    <row r="4" spans="1:21">
      <c r="A4" s="63"/>
      <c r="B4" s="143">
        <v>1</v>
      </c>
      <c r="C4" s="63">
        <v>2</v>
      </c>
      <c r="D4" s="63">
        <v>3</v>
      </c>
      <c r="E4" s="63">
        <v>4</v>
      </c>
      <c r="F4" s="63">
        <v>5</v>
      </c>
      <c r="G4" s="63">
        <v>6</v>
      </c>
      <c r="H4" s="63">
        <v>7</v>
      </c>
      <c r="I4" s="63">
        <v>8</v>
      </c>
      <c r="J4" s="63">
        <v>9</v>
      </c>
      <c r="K4" s="63">
        <v>10</v>
      </c>
      <c r="L4" s="63">
        <v>11</v>
      </c>
      <c r="M4" s="63">
        <v>12</v>
      </c>
      <c r="N4" s="63">
        <v>13</v>
      </c>
      <c r="O4" s="63">
        <v>14</v>
      </c>
      <c r="P4" s="63">
        <v>15</v>
      </c>
      <c r="Q4" s="63">
        <v>16</v>
      </c>
      <c r="R4" s="63">
        <v>17</v>
      </c>
      <c r="S4" s="63">
        <v>18</v>
      </c>
      <c r="T4" s="63">
        <v>19</v>
      </c>
      <c r="U4" s="63">
        <v>20</v>
      </c>
    </row>
    <row r="5" spans="1:21" ht="108.75" customHeight="1">
      <c r="A5" s="63">
        <v>1</v>
      </c>
      <c r="B5" s="66" t="s">
        <v>26</v>
      </c>
      <c r="C5" s="57" t="s">
        <v>69</v>
      </c>
      <c r="D5" s="205">
        <f>88.2*70%</f>
        <v>61.739999999999995</v>
      </c>
      <c r="E5" s="205">
        <f>88.2*70%</f>
        <v>61.739999999999995</v>
      </c>
      <c r="F5" s="154" t="s">
        <v>12</v>
      </c>
      <c r="G5" s="154" t="s">
        <v>12</v>
      </c>
      <c r="H5" s="154" t="s">
        <v>12</v>
      </c>
      <c r="I5" s="206">
        <f>6.44/8</f>
        <v>0.80500000000000005</v>
      </c>
      <c r="J5" s="206">
        <f>I5*D5</f>
        <v>49.700699999999998</v>
      </c>
      <c r="K5" s="154">
        <f>I5*E5</f>
        <v>49.700699999999998</v>
      </c>
      <c r="L5" s="154" t="s">
        <v>12</v>
      </c>
      <c r="M5" s="154" t="s">
        <v>12</v>
      </c>
      <c r="N5" s="154" t="s">
        <v>12</v>
      </c>
      <c r="O5" s="154">
        <v>3.6</v>
      </c>
      <c r="P5" s="206">
        <v>100.86</v>
      </c>
      <c r="Q5" s="154">
        <f>J5*P5*8</f>
        <v>40102.500816</v>
      </c>
      <c r="R5" s="154">
        <f>P5*K5*8</f>
        <v>40102.500816</v>
      </c>
      <c r="S5" s="154" t="s">
        <v>12</v>
      </c>
      <c r="T5" s="154" t="s">
        <v>12</v>
      </c>
      <c r="U5" s="154" t="s">
        <v>12</v>
      </c>
    </row>
    <row r="6" spans="1:21" ht="95.25" thickBot="1">
      <c r="A6" s="63">
        <v>2</v>
      </c>
      <c r="B6" s="66" t="s">
        <v>27</v>
      </c>
      <c r="C6" s="57" t="s">
        <v>69</v>
      </c>
      <c r="D6" s="207">
        <v>155.11000000000001</v>
      </c>
      <c r="E6" s="208">
        <f>155.11*85%</f>
        <v>131.84350000000001</v>
      </c>
      <c r="F6" s="154">
        <f>155.11*15%</f>
        <v>23.266500000000001</v>
      </c>
      <c r="G6" s="154" t="s">
        <v>12</v>
      </c>
      <c r="H6" s="154" t="s">
        <v>12</v>
      </c>
      <c r="I6" s="154">
        <f>25.53/8</f>
        <v>3.1912500000000001</v>
      </c>
      <c r="J6" s="154">
        <f t="shared" ref="J6:J10" si="0">I6*D6</f>
        <v>494.99478750000009</v>
      </c>
      <c r="K6" s="154">
        <f>I6*E6</f>
        <v>420.74556937500006</v>
      </c>
      <c r="L6" s="154">
        <f>I6*F6</f>
        <v>74.249218124999999</v>
      </c>
      <c r="M6" s="154" t="s">
        <v>12</v>
      </c>
      <c r="N6" s="154" t="s">
        <v>12</v>
      </c>
      <c r="O6" s="154">
        <v>3.4</v>
      </c>
      <c r="P6" s="206">
        <v>98.54</v>
      </c>
      <c r="Q6" s="154">
        <f t="shared" ref="Q6:Q11" si="1">J6*P6*8</f>
        <v>390214.29088200012</v>
      </c>
      <c r="R6" s="154">
        <f>P6*K6*8</f>
        <v>331682.14724970009</v>
      </c>
      <c r="S6" s="154">
        <f>P6*L6*8</f>
        <v>58532.143632300002</v>
      </c>
      <c r="T6" s="154" t="s">
        <v>12</v>
      </c>
      <c r="U6" s="154" t="s">
        <v>12</v>
      </c>
    </row>
    <row r="7" spans="1:21" ht="146.25" customHeight="1" thickBot="1">
      <c r="A7" s="63">
        <v>3</v>
      </c>
      <c r="B7" s="66" t="s">
        <v>28</v>
      </c>
      <c r="C7" s="57" t="s">
        <v>70</v>
      </c>
      <c r="D7" s="209">
        <v>1.42</v>
      </c>
      <c r="E7" s="154">
        <f>1.42*36%</f>
        <v>0.51119999999999999</v>
      </c>
      <c r="F7" s="154">
        <v>0.90880000000000005</v>
      </c>
      <c r="G7" s="154">
        <f>E7+F7</f>
        <v>1.42</v>
      </c>
      <c r="H7" s="154" t="s">
        <v>12</v>
      </c>
      <c r="I7" s="154">
        <f>3409.74/8</f>
        <v>426.21749999999997</v>
      </c>
      <c r="J7" s="154">
        <f t="shared" si="0"/>
        <v>605.22884999999997</v>
      </c>
      <c r="K7" s="154">
        <f>I7*E7</f>
        <v>217.88238599999997</v>
      </c>
      <c r="L7" s="154">
        <f>I7*F7</f>
        <v>387.34646400000003</v>
      </c>
      <c r="M7" s="154" t="s">
        <v>12</v>
      </c>
      <c r="N7" s="154" t="s">
        <v>12</v>
      </c>
      <c r="O7" s="154">
        <v>3.7</v>
      </c>
      <c r="P7" s="206">
        <v>102.02</v>
      </c>
      <c r="Q7" s="154">
        <f t="shared" si="1"/>
        <v>493963.57821599994</v>
      </c>
      <c r="R7" s="154">
        <f>P7*K7*8</f>
        <v>177826.88815775997</v>
      </c>
      <c r="S7" s="154">
        <f>P7*L7*8</f>
        <v>316136.69005824003</v>
      </c>
      <c r="T7" s="154" t="s">
        <v>12</v>
      </c>
      <c r="U7" s="154" t="s">
        <v>12</v>
      </c>
    </row>
    <row r="8" spans="1:21" ht="126.75" thickBot="1">
      <c r="A8" s="63">
        <v>4</v>
      </c>
      <c r="B8" s="66" t="s">
        <v>29</v>
      </c>
      <c r="C8" s="57" t="s">
        <v>71</v>
      </c>
      <c r="D8" s="209">
        <v>4.51</v>
      </c>
      <c r="E8" s="154">
        <f>4.51*63%</f>
        <v>2.8412999999999999</v>
      </c>
      <c r="F8" s="154">
        <f>4.51*37%</f>
        <v>1.6686999999999999</v>
      </c>
      <c r="G8" s="154" t="s">
        <v>12</v>
      </c>
      <c r="H8" s="154" t="s">
        <v>12</v>
      </c>
      <c r="I8" s="154">
        <f>992.34/8</f>
        <v>124.0425</v>
      </c>
      <c r="J8" s="154">
        <f t="shared" si="0"/>
        <v>559.43167500000004</v>
      </c>
      <c r="K8" s="154">
        <f>I8*E8</f>
        <v>352.44195524999998</v>
      </c>
      <c r="L8" s="154">
        <f>I8*F8</f>
        <v>206.98971974999998</v>
      </c>
      <c r="M8" s="154" t="s">
        <v>12</v>
      </c>
      <c r="N8" s="154" t="s">
        <v>12</v>
      </c>
      <c r="O8" s="154">
        <v>4</v>
      </c>
      <c r="P8" s="206">
        <v>105.62</v>
      </c>
      <c r="Q8" s="154">
        <f t="shared" si="1"/>
        <v>472697.38810800004</v>
      </c>
      <c r="R8" s="154">
        <f>P8*K8*8</f>
        <v>297799.35450804001</v>
      </c>
      <c r="S8" s="154">
        <f>P8*L8*8</f>
        <v>174898.03359995998</v>
      </c>
      <c r="T8" s="154" t="s">
        <v>12</v>
      </c>
      <c r="U8" s="154" t="s">
        <v>12</v>
      </c>
    </row>
    <row r="9" spans="1:21" ht="74.25" thickBot="1">
      <c r="A9" s="63">
        <v>5</v>
      </c>
      <c r="B9" s="66" t="s">
        <v>30</v>
      </c>
      <c r="C9" s="57" t="s">
        <v>72</v>
      </c>
      <c r="D9" s="210">
        <v>566.09</v>
      </c>
      <c r="E9" s="208" t="s">
        <v>12</v>
      </c>
      <c r="F9" s="208">
        <f>566.09*58%</f>
        <v>328.3322</v>
      </c>
      <c r="G9" s="208">
        <f>566.09*42%</f>
        <v>237.7578</v>
      </c>
      <c r="H9" s="154" t="s">
        <v>12</v>
      </c>
      <c r="I9" s="154">
        <f>4.07/8</f>
        <v>0.50875000000000004</v>
      </c>
      <c r="J9" s="154">
        <f t="shared" si="0"/>
        <v>287.99828750000006</v>
      </c>
      <c r="K9" s="154" t="s">
        <v>12</v>
      </c>
      <c r="L9" s="154">
        <f>I9*F9</f>
        <v>167.03900675</v>
      </c>
      <c r="M9" s="154">
        <f>I9*G9</f>
        <v>120.95928075</v>
      </c>
      <c r="N9" s="154" t="s">
        <v>12</v>
      </c>
      <c r="O9" s="154">
        <v>2</v>
      </c>
      <c r="P9" s="206">
        <v>85.55</v>
      </c>
      <c r="Q9" s="154">
        <f t="shared" si="1"/>
        <v>197106.02796500004</v>
      </c>
      <c r="R9" s="154" t="s">
        <v>12</v>
      </c>
      <c r="S9" s="154">
        <f>P9*L9*8</f>
        <v>114321.4962197</v>
      </c>
      <c r="T9" s="154">
        <f>P9*M9*8</f>
        <v>82784.531745300003</v>
      </c>
      <c r="U9" s="154" t="s">
        <v>12</v>
      </c>
    </row>
    <row r="10" spans="1:21" ht="179.25" thickBot="1">
      <c r="A10" s="63">
        <v>6</v>
      </c>
      <c r="B10" s="66" t="s">
        <v>31</v>
      </c>
      <c r="C10" s="57" t="s">
        <v>73</v>
      </c>
      <c r="D10" s="209">
        <v>98.7</v>
      </c>
      <c r="E10" s="154" t="s">
        <v>12</v>
      </c>
      <c r="F10" s="154">
        <f>98.7*51%</f>
        <v>50.337000000000003</v>
      </c>
      <c r="G10" s="154">
        <f>98.7*49%</f>
        <v>48.363</v>
      </c>
      <c r="H10" s="154" t="s">
        <v>12</v>
      </c>
      <c r="I10" s="154">
        <f>29.34/8</f>
        <v>3.6675</v>
      </c>
      <c r="J10" s="154">
        <f t="shared" si="0"/>
        <v>361.98225000000002</v>
      </c>
      <c r="K10" s="154" t="s">
        <v>12</v>
      </c>
      <c r="L10" s="154">
        <f>I10*F10</f>
        <v>184.61094750000001</v>
      </c>
      <c r="M10" s="154">
        <f>I10*G10</f>
        <v>177.37130249999998</v>
      </c>
      <c r="N10" s="154" t="s">
        <v>12</v>
      </c>
      <c r="O10" s="154">
        <v>3.8</v>
      </c>
      <c r="P10" s="154">
        <v>103.29</v>
      </c>
      <c r="Q10" s="154">
        <f t="shared" si="1"/>
        <v>299113.17282000004</v>
      </c>
      <c r="R10" s="154" t="s">
        <v>12</v>
      </c>
      <c r="S10" s="154">
        <f>P10*L10*8</f>
        <v>152547.71813820003</v>
      </c>
      <c r="T10" s="154">
        <f>P10*M10*8</f>
        <v>146565.45468180001</v>
      </c>
      <c r="U10" s="154" t="s">
        <v>12</v>
      </c>
    </row>
    <row r="11" spans="1:21" ht="63">
      <c r="A11" s="63">
        <v>7</v>
      </c>
      <c r="B11" s="66" t="s">
        <v>32</v>
      </c>
      <c r="C11" s="57" t="s">
        <v>74</v>
      </c>
      <c r="D11" s="209">
        <v>29.74</v>
      </c>
      <c r="E11" s="154" t="s">
        <v>12</v>
      </c>
      <c r="F11" s="154" t="s">
        <v>12</v>
      </c>
      <c r="G11" s="209">
        <v>29.74</v>
      </c>
      <c r="H11" s="154" t="s">
        <v>12</v>
      </c>
      <c r="I11" s="154">
        <f>30.13/8</f>
        <v>3.7662499999999999</v>
      </c>
      <c r="J11" s="154">
        <f>I11*D11</f>
        <v>112.00827499999998</v>
      </c>
      <c r="K11" s="154" t="s">
        <v>87</v>
      </c>
      <c r="L11" s="154" t="s">
        <v>12</v>
      </c>
      <c r="M11" s="154">
        <f>I11*G11</f>
        <v>112.00827499999998</v>
      </c>
      <c r="N11" s="154" t="s">
        <v>12</v>
      </c>
      <c r="O11" s="154">
        <v>2.2000000000000002</v>
      </c>
      <c r="P11" s="206">
        <v>87.13</v>
      </c>
      <c r="Q11" s="154">
        <f t="shared" si="1"/>
        <v>78074.24800599998</v>
      </c>
      <c r="R11" s="154" t="s">
        <v>12</v>
      </c>
      <c r="S11" s="154" t="s">
        <v>12</v>
      </c>
      <c r="T11" s="154">
        <f>P11*M11*8</f>
        <v>78074.24800599998</v>
      </c>
      <c r="U11" s="154" t="s">
        <v>12</v>
      </c>
    </row>
    <row r="12" spans="1:21" ht="42">
      <c r="A12" s="64">
        <v>8</v>
      </c>
      <c r="B12" s="67" t="s">
        <v>88</v>
      </c>
      <c r="C12" s="63"/>
      <c r="D12" s="154"/>
      <c r="E12" s="154"/>
      <c r="F12" s="154"/>
      <c r="G12" s="154"/>
      <c r="H12" s="154"/>
      <c r="I12" s="154"/>
      <c r="J12" s="154">
        <f>SUM(J5:J11)</f>
        <v>2471.3448250000001</v>
      </c>
      <c r="K12" s="154">
        <f>SUM(K5:K11)</f>
        <v>1040.770610625</v>
      </c>
      <c r="L12" s="154">
        <f>SUM(L5:L11)</f>
        <v>1020.235356125</v>
      </c>
      <c r="M12" s="154">
        <f>SUM(M5:M11)</f>
        <v>410.33885824999999</v>
      </c>
      <c r="N12" s="154">
        <f>SUM(N5:N11)</f>
        <v>0</v>
      </c>
      <c r="O12" s="154"/>
      <c r="P12" s="154"/>
      <c r="Q12" s="154">
        <f>SUM(Q5:Q11)</f>
        <v>1971271.2068130001</v>
      </c>
      <c r="R12" s="154">
        <f>SUM(R5:R11)</f>
        <v>847410.8907315</v>
      </c>
      <c r="S12" s="154">
        <f>SUM(S5:S11)</f>
        <v>816436.08164840005</v>
      </c>
      <c r="T12" s="154">
        <f>SUM(T5:T11)</f>
        <v>307424.23443309998</v>
      </c>
      <c r="U12" s="154">
        <f>SUM(U5:U11)</f>
        <v>0</v>
      </c>
    </row>
    <row r="13" spans="1:21" ht="31.5">
      <c r="A13" s="64">
        <v>9</v>
      </c>
      <c r="B13" s="67" t="s">
        <v>152</v>
      </c>
      <c r="C13" s="63"/>
      <c r="D13" s="154"/>
      <c r="E13" s="154"/>
      <c r="F13" s="154"/>
      <c r="G13" s="154"/>
      <c r="H13" s="154"/>
      <c r="I13" s="154"/>
      <c r="J13" s="154">
        <f>K13</f>
        <v>45.793906867499999</v>
      </c>
      <c r="K13" s="154">
        <f>K12*0.044</f>
        <v>45.793906867499999</v>
      </c>
      <c r="L13" s="154" t="s">
        <v>12</v>
      </c>
      <c r="M13" s="154" t="s">
        <v>12</v>
      </c>
      <c r="N13" s="154">
        <v>0</v>
      </c>
      <c r="O13" s="154"/>
      <c r="P13" s="154"/>
      <c r="Q13" s="154">
        <f>R13</f>
        <v>37286.079192186</v>
      </c>
      <c r="R13" s="154">
        <f>R12*0.044</f>
        <v>37286.079192186</v>
      </c>
      <c r="S13" s="154"/>
      <c r="T13" s="154"/>
      <c r="U13" s="154">
        <v>0</v>
      </c>
    </row>
    <row r="14" spans="1:21" ht="21">
      <c r="A14" s="64">
        <v>10</v>
      </c>
      <c r="B14" s="67" t="s">
        <v>91</v>
      </c>
      <c r="C14" s="63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>
        <f>SUM(R14:U14)</f>
        <v>197499.98147322188</v>
      </c>
      <c r="R14" s="154">
        <f>((0.1*R13)+R12)*0.1</f>
        <v>85113.94986507186</v>
      </c>
      <c r="S14" s="154">
        <f>0.1*S12</f>
        <v>81643.608164840014</v>
      </c>
      <c r="T14" s="154">
        <f>0.1*T12</f>
        <v>30742.423443309999</v>
      </c>
      <c r="U14" s="154">
        <f>0.2*U12</f>
        <v>0</v>
      </c>
    </row>
    <row r="15" spans="1:21" ht="31.5">
      <c r="A15" s="64">
        <v>11</v>
      </c>
      <c r="B15" s="67" t="s">
        <v>89</v>
      </c>
      <c r="C15" s="63"/>
      <c r="D15" s="154"/>
      <c r="E15" s="154"/>
      <c r="F15" s="154"/>
      <c r="G15" s="154"/>
      <c r="H15" s="154"/>
      <c r="I15" s="154"/>
      <c r="J15" s="154">
        <f>SUM(J12:J14)</f>
        <v>2517.1387318675002</v>
      </c>
      <c r="K15" s="154">
        <f>SUM(K12:K14)</f>
        <v>1086.5645174925</v>
      </c>
      <c r="L15" s="154">
        <f>SUM(L12:L14)</f>
        <v>1020.235356125</v>
      </c>
      <c r="M15" s="154">
        <f>SUM(M12:M14)</f>
        <v>410.33885824999999</v>
      </c>
      <c r="N15" s="154">
        <v>0</v>
      </c>
      <c r="O15" s="154"/>
      <c r="P15" s="154"/>
      <c r="Q15" s="154">
        <f>Q12+Q14+Q13</f>
        <v>2206057.2674784078</v>
      </c>
      <c r="R15" s="154">
        <f>SUM(R12:R14)</f>
        <v>969810.9197887578</v>
      </c>
      <c r="S15" s="154">
        <f>SUM(S12:S14)</f>
        <v>898079.68981324008</v>
      </c>
      <c r="T15" s="154">
        <f>SUM(T12:T14)</f>
        <v>338166.65787641</v>
      </c>
      <c r="U15" s="154">
        <v>0</v>
      </c>
    </row>
    <row r="16" spans="1:21">
      <c r="Q16" s="69"/>
    </row>
    <row r="17" spans="10:18">
      <c r="K17" s="69"/>
      <c r="Q17" s="69"/>
      <c r="R17" s="69"/>
    </row>
    <row r="18" spans="10:18">
      <c r="J18" s="69"/>
      <c r="K18" s="69"/>
    </row>
  </sheetData>
  <mergeCells count="13">
    <mergeCell ref="P2:P3"/>
    <mergeCell ref="Q2:Q3"/>
    <mergeCell ref="R2:U2"/>
    <mergeCell ref="A1:U1"/>
    <mergeCell ref="A2:A3"/>
    <mergeCell ref="B2:B3"/>
    <mergeCell ref="C2:C3"/>
    <mergeCell ref="D2:D3"/>
    <mergeCell ref="E2:H2"/>
    <mergeCell ref="I2:I3"/>
    <mergeCell ref="J2:J3"/>
    <mergeCell ref="K2:N2"/>
    <mergeCell ref="O2:O3"/>
  </mergeCells>
  <pageMargins left="7.874015748031496E-2" right="7.874015748031496E-2" top="0.39370078740157483" bottom="0.35433070866141736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I4" sqref="I4"/>
    </sheetView>
  </sheetViews>
  <sheetFormatPr defaultRowHeight="15"/>
  <cols>
    <col min="1" max="1" width="9.140625" style="83"/>
    <col min="2" max="2" width="25" style="59" customWidth="1"/>
    <col min="3" max="7" width="14.7109375" customWidth="1"/>
  </cols>
  <sheetData>
    <row r="1" spans="1:10">
      <c r="A1" s="244" t="s">
        <v>103</v>
      </c>
      <c r="B1" s="245"/>
      <c r="C1" s="245"/>
      <c r="D1" s="245"/>
      <c r="E1" s="245"/>
      <c r="F1" s="245"/>
      <c r="G1" s="245"/>
      <c r="H1" s="1"/>
      <c r="I1" s="1"/>
    </row>
    <row r="2" spans="1:10" ht="60">
      <c r="A2" s="58" t="s">
        <v>51</v>
      </c>
      <c r="B2" s="71" t="s">
        <v>92</v>
      </c>
      <c r="C2" s="71" t="s">
        <v>93</v>
      </c>
      <c r="D2" s="71" t="s">
        <v>94</v>
      </c>
      <c r="E2" s="71" t="s">
        <v>95</v>
      </c>
      <c r="F2" s="71" t="s">
        <v>96</v>
      </c>
      <c r="G2" s="71" t="s">
        <v>97</v>
      </c>
      <c r="H2" s="1"/>
      <c r="I2" s="1"/>
    </row>
    <row r="3" spans="1:10">
      <c r="A3" s="81">
        <v>1</v>
      </c>
      <c r="B3" s="82" t="s">
        <v>98</v>
      </c>
      <c r="C3" s="81">
        <v>6</v>
      </c>
      <c r="D3" s="81">
        <v>1</v>
      </c>
      <c r="E3" s="81">
        <v>141.84</v>
      </c>
      <c r="F3" s="81">
        <f>E3*D3*8</f>
        <v>1134.72</v>
      </c>
      <c r="G3" s="81">
        <f>F3*21</f>
        <v>23829.119999999999</v>
      </c>
      <c r="H3" s="1"/>
      <c r="I3" s="1">
        <f>SUM(G3:G6)</f>
        <v>107242.8</v>
      </c>
      <c r="J3">
        <f>I3*12</f>
        <v>1286913.6000000001</v>
      </c>
    </row>
    <row r="4" spans="1:10">
      <c r="A4" s="81">
        <v>2</v>
      </c>
      <c r="B4" s="82" t="s">
        <v>99</v>
      </c>
      <c r="C4" s="81">
        <v>5</v>
      </c>
      <c r="D4" s="81">
        <v>1</v>
      </c>
      <c r="E4" s="81">
        <v>121.35</v>
      </c>
      <c r="F4" s="81">
        <f>E4*D4*8</f>
        <v>970.8</v>
      </c>
      <c r="G4" s="81">
        <f>F4*21</f>
        <v>20386.8</v>
      </c>
      <c r="H4" s="1"/>
    </row>
    <row r="5" spans="1:10">
      <c r="A5" s="81">
        <v>3</v>
      </c>
      <c r="B5" s="82" t="s">
        <v>100</v>
      </c>
      <c r="C5" s="81">
        <v>3</v>
      </c>
      <c r="D5" s="81">
        <v>2</v>
      </c>
      <c r="E5" s="81">
        <v>93.79</v>
      </c>
      <c r="F5" s="81">
        <f>E5*D5*8</f>
        <v>1500.64</v>
      </c>
      <c r="G5" s="81">
        <f>F5*21</f>
        <v>31513.440000000002</v>
      </c>
      <c r="H5" s="1"/>
      <c r="I5" s="1"/>
    </row>
    <row r="6" spans="1:10">
      <c r="A6" s="81">
        <v>4</v>
      </c>
      <c r="B6" s="82" t="s">
        <v>101</v>
      </c>
      <c r="C6" s="81">
        <v>3</v>
      </c>
      <c r="D6" s="81">
        <v>2</v>
      </c>
      <c r="E6" s="81">
        <v>93.79</v>
      </c>
      <c r="F6" s="81">
        <f>E6*D6*8</f>
        <v>1500.64</v>
      </c>
      <c r="G6" s="81">
        <f>F6*21</f>
        <v>31513.440000000002</v>
      </c>
      <c r="H6" s="1"/>
      <c r="I6" s="1">
        <f>G6*12</f>
        <v>378161.28</v>
      </c>
    </row>
    <row r="7" spans="1:10">
      <c r="A7" s="81"/>
      <c r="B7" s="82" t="s">
        <v>102</v>
      </c>
      <c r="C7" s="81"/>
      <c r="D7" s="81">
        <v>6</v>
      </c>
      <c r="E7" s="81">
        <f>SUM(E3:E6)</f>
        <v>450.77000000000004</v>
      </c>
      <c r="F7" s="81">
        <f>SUM(F3:F6)</f>
        <v>5106.8</v>
      </c>
      <c r="G7" s="81">
        <f>F7*21</f>
        <v>107242.8</v>
      </c>
      <c r="H7" s="1"/>
      <c r="I7" s="1"/>
    </row>
    <row r="8" spans="1:10">
      <c r="F8" s="10"/>
      <c r="G8" s="84"/>
    </row>
    <row r="10" spans="1:10">
      <c r="E10" s="1"/>
      <c r="G10" s="1"/>
    </row>
    <row r="12" spans="1:10">
      <c r="A12" s="246" t="s">
        <v>117</v>
      </c>
      <c r="B12" s="247"/>
      <c r="C12" s="247"/>
      <c r="D12" s="247"/>
      <c r="E12" s="247"/>
      <c r="F12" s="247"/>
    </row>
    <row r="13" spans="1:10" ht="45">
      <c r="A13" s="141" t="s">
        <v>51</v>
      </c>
      <c r="B13" s="141" t="s">
        <v>104</v>
      </c>
      <c r="C13" s="141" t="s">
        <v>105</v>
      </c>
      <c r="D13" s="141" t="s">
        <v>106</v>
      </c>
      <c r="E13" s="141" t="s">
        <v>107</v>
      </c>
      <c r="F13" s="141" t="s">
        <v>108</v>
      </c>
    </row>
    <row r="14" spans="1:10">
      <c r="A14" s="141">
        <v>1</v>
      </c>
      <c r="B14" s="71" t="s">
        <v>109</v>
      </c>
      <c r="C14" s="141">
        <v>1</v>
      </c>
      <c r="D14" s="141">
        <v>50000</v>
      </c>
      <c r="E14" s="141">
        <f t="shared" ref="E14:E23" si="0">D14*0.2</f>
        <v>10000</v>
      </c>
      <c r="F14" s="141">
        <f>D14+E14</f>
        <v>60000</v>
      </c>
    </row>
    <row r="15" spans="1:10">
      <c r="A15" s="141">
        <v>2</v>
      </c>
      <c r="B15" s="71" t="s">
        <v>110</v>
      </c>
      <c r="C15" s="141">
        <v>1</v>
      </c>
      <c r="D15" s="141">
        <v>30000</v>
      </c>
      <c r="E15" s="141">
        <f t="shared" si="0"/>
        <v>6000</v>
      </c>
      <c r="F15" s="141">
        <f t="shared" ref="F15:F24" si="1">D15+E15</f>
        <v>36000</v>
      </c>
    </row>
    <row r="16" spans="1:10">
      <c r="A16" s="141">
        <v>3</v>
      </c>
      <c r="B16" s="71" t="s">
        <v>111</v>
      </c>
      <c r="C16" s="141">
        <v>1</v>
      </c>
      <c r="D16" s="141">
        <v>30000</v>
      </c>
      <c r="E16" s="141">
        <f t="shared" si="0"/>
        <v>6000</v>
      </c>
      <c r="F16" s="141">
        <f t="shared" si="1"/>
        <v>36000</v>
      </c>
    </row>
    <row r="17" spans="1:6">
      <c r="A17" s="141">
        <v>4</v>
      </c>
      <c r="B17" s="71" t="s">
        <v>112</v>
      </c>
      <c r="C17" s="141">
        <v>1</v>
      </c>
      <c r="D17" s="141">
        <v>25000</v>
      </c>
      <c r="E17" s="141">
        <f t="shared" si="0"/>
        <v>5000</v>
      </c>
      <c r="F17" s="141">
        <f t="shared" si="1"/>
        <v>30000</v>
      </c>
    </row>
    <row r="18" spans="1:6">
      <c r="A18" s="141">
        <v>5</v>
      </c>
      <c r="B18" s="71" t="s">
        <v>113</v>
      </c>
      <c r="C18" s="141">
        <v>1</v>
      </c>
      <c r="D18" s="141">
        <v>25000</v>
      </c>
      <c r="E18" s="141">
        <f t="shared" si="0"/>
        <v>5000</v>
      </c>
      <c r="F18" s="141">
        <f t="shared" si="1"/>
        <v>30000</v>
      </c>
    </row>
    <row r="19" spans="1:6">
      <c r="A19" s="141">
        <v>6</v>
      </c>
      <c r="B19" s="71" t="s">
        <v>114</v>
      </c>
      <c r="C19" s="141">
        <v>1</v>
      </c>
      <c r="D19" s="141">
        <v>25000</v>
      </c>
      <c r="E19" s="141">
        <f t="shared" si="0"/>
        <v>5000</v>
      </c>
      <c r="F19" s="141">
        <f t="shared" si="1"/>
        <v>30000</v>
      </c>
    </row>
    <row r="20" spans="1:6">
      <c r="A20" s="141">
        <v>7</v>
      </c>
      <c r="B20" s="71" t="s">
        <v>118</v>
      </c>
      <c r="C20" s="141">
        <v>1</v>
      </c>
      <c r="D20" s="141">
        <v>25000</v>
      </c>
      <c r="E20" s="141">
        <f t="shared" si="0"/>
        <v>5000</v>
      </c>
      <c r="F20" s="141">
        <f t="shared" si="1"/>
        <v>30000</v>
      </c>
    </row>
    <row r="21" spans="1:6">
      <c r="A21" s="141">
        <v>8</v>
      </c>
      <c r="B21" s="71" t="s">
        <v>115</v>
      </c>
      <c r="C21" s="141">
        <v>1</v>
      </c>
      <c r="D21" s="141">
        <v>20000</v>
      </c>
      <c r="E21" s="141">
        <f t="shared" si="0"/>
        <v>4000</v>
      </c>
      <c r="F21" s="141">
        <f t="shared" si="1"/>
        <v>24000</v>
      </c>
    </row>
    <row r="22" spans="1:6">
      <c r="A22" s="141">
        <v>9</v>
      </c>
      <c r="B22" s="71" t="s">
        <v>116</v>
      </c>
      <c r="C22" s="141">
        <v>1</v>
      </c>
      <c r="D22" s="141">
        <v>20000</v>
      </c>
      <c r="E22" s="141">
        <f t="shared" si="0"/>
        <v>4000</v>
      </c>
      <c r="F22" s="141">
        <f t="shared" si="1"/>
        <v>24000</v>
      </c>
    </row>
    <row r="23" spans="1:6">
      <c r="A23" s="141">
        <v>10</v>
      </c>
      <c r="B23" s="71" t="s">
        <v>119</v>
      </c>
      <c r="C23" s="141">
        <v>1</v>
      </c>
      <c r="D23" s="141">
        <v>15000</v>
      </c>
      <c r="E23" s="141">
        <f t="shared" si="0"/>
        <v>3000</v>
      </c>
      <c r="F23" s="141">
        <f t="shared" si="1"/>
        <v>18000</v>
      </c>
    </row>
    <row r="24" spans="1:6">
      <c r="A24" s="141"/>
      <c r="B24" s="71" t="s">
        <v>102</v>
      </c>
      <c r="C24" s="141">
        <f>SUM(C14:C23)</f>
        <v>10</v>
      </c>
      <c r="D24" s="141">
        <f>SUM(D14:D23)</f>
        <v>265000</v>
      </c>
      <c r="E24" s="141">
        <f>D24*0.2</f>
        <v>53000</v>
      </c>
      <c r="F24" s="141">
        <f t="shared" si="1"/>
        <v>318000</v>
      </c>
    </row>
  </sheetData>
  <mergeCells count="2">
    <mergeCell ref="A1:G1"/>
    <mergeCell ref="A12:F12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sqref="A1:F13"/>
    </sheetView>
  </sheetViews>
  <sheetFormatPr defaultRowHeight="15"/>
  <cols>
    <col min="2" max="2" width="24.42578125" customWidth="1"/>
  </cols>
  <sheetData>
    <row r="1" spans="1:8">
      <c r="A1" s="248" t="s">
        <v>117</v>
      </c>
      <c r="B1" s="249"/>
      <c r="C1" s="249"/>
      <c r="D1" s="249"/>
      <c r="E1" s="249"/>
      <c r="F1" s="249"/>
    </row>
    <row r="2" spans="1:8" ht="75">
      <c r="A2" s="50" t="s">
        <v>51</v>
      </c>
      <c r="B2" s="50" t="s">
        <v>104</v>
      </c>
      <c r="C2" s="50" t="s">
        <v>105</v>
      </c>
      <c r="D2" s="50" t="s">
        <v>106</v>
      </c>
      <c r="E2" s="50" t="s">
        <v>107</v>
      </c>
      <c r="F2" s="50" t="s">
        <v>108</v>
      </c>
    </row>
    <row r="3" spans="1:8">
      <c r="A3" s="50">
        <v>1</v>
      </c>
      <c r="B3" s="71" t="s">
        <v>109</v>
      </c>
      <c r="C3" s="50">
        <v>1</v>
      </c>
      <c r="D3" s="50">
        <v>50000</v>
      </c>
      <c r="E3" s="50">
        <f t="shared" ref="E3:E12" si="0">D3*0.2</f>
        <v>10000</v>
      </c>
      <c r="F3" s="50">
        <f>D3+E3</f>
        <v>60000</v>
      </c>
    </row>
    <row r="4" spans="1:8">
      <c r="A4" s="50">
        <v>2</v>
      </c>
      <c r="B4" s="71" t="s">
        <v>110</v>
      </c>
      <c r="C4" s="50">
        <v>1</v>
      </c>
      <c r="D4" s="50">
        <v>30000</v>
      </c>
      <c r="E4" s="50">
        <f t="shared" si="0"/>
        <v>6000</v>
      </c>
      <c r="F4" s="50">
        <f t="shared" ref="F4:F13" si="1">D4+E4</f>
        <v>36000</v>
      </c>
    </row>
    <row r="5" spans="1:8">
      <c r="A5" s="50">
        <v>3</v>
      </c>
      <c r="B5" s="71" t="s">
        <v>111</v>
      </c>
      <c r="C5" s="50">
        <v>1</v>
      </c>
      <c r="D5" s="50">
        <v>30000</v>
      </c>
      <c r="E5" s="50">
        <f t="shared" si="0"/>
        <v>6000</v>
      </c>
      <c r="F5" s="50">
        <f t="shared" si="1"/>
        <v>36000</v>
      </c>
    </row>
    <row r="6" spans="1:8">
      <c r="A6" s="50">
        <v>4</v>
      </c>
      <c r="B6" s="71" t="s">
        <v>112</v>
      </c>
      <c r="C6" s="50">
        <v>1</v>
      </c>
      <c r="D6" s="50">
        <v>25000</v>
      </c>
      <c r="E6" s="50">
        <f t="shared" si="0"/>
        <v>5000</v>
      </c>
      <c r="F6" s="50">
        <f t="shared" si="1"/>
        <v>30000</v>
      </c>
    </row>
    <row r="7" spans="1:8">
      <c r="A7" s="50">
        <v>5</v>
      </c>
      <c r="B7" s="71" t="s">
        <v>113</v>
      </c>
      <c r="C7" s="50">
        <v>1</v>
      </c>
      <c r="D7" s="50">
        <v>25000</v>
      </c>
      <c r="E7" s="50">
        <f t="shared" si="0"/>
        <v>5000</v>
      </c>
      <c r="F7" s="50">
        <f t="shared" si="1"/>
        <v>30000</v>
      </c>
    </row>
    <row r="8" spans="1:8">
      <c r="A8" s="50">
        <v>6</v>
      </c>
      <c r="B8" s="71" t="s">
        <v>114</v>
      </c>
      <c r="C8" s="50">
        <v>1</v>
      </c>
      <c r="D8" s="50">
        <v>25000</v>
      </c>
      <c r="E8" s="50">
        <f t="shared" si="0"/>
        <v>5000</v>
      </c>
      <c r="F8" s="50">
        <f t="shared" si="1"/>
        <v>30000</v>
      </c>
    </row>
    <row r="9" spans="1:8">
      <c r="A9" s="50">
        <v>7</v>
      </c>
      <c r="B9" s="71" t="s">
        <v>118</v>
      </c>
      <c r="C9" s="50">
        <v>1</v>
      </c>
      <c r="D9" s="50">
        <v>25000</v>
      </c>
      <c r="E9" s="50">
        <f t="shared" si="0"/>
        <v>5000</v>
      </c>
      <c r="F9" s="50">
        <f t="shared" si="1"/>
        <v>30000</v>
      </c>
    </row>
    <row r="10" spans="1:8">
      <c r="A10" s="50">
        <v>8</v>
      </c>
      <c r="B10" s="71" t="s">
        <v>115</v>
      </c>
      <c r="C10" s="50">
        <v>1</v>
      </c>
      <c r="D10" s="50">
        <v>20000</v>
      </c>
      <c r="E10" s="50">
        <f t="shared" si="0"/>
        <v>4000</v>
      </c>
      <c r="F10" s="50">
        <f t="shared" si="1"/>
        <v>24000</v>
      </c>
    </row>
    <row r="11" spans="1:8">
      <c r="A11" s="50">
        <v>9</v>
      </c>
      <c r="B11" s="71" t="s">
        <v>116</v>
      </c>
      <c r="C11" s="50">
        <v>1</v>
      </c>
      <c r="D11" s="50">
        <v>20000</v>
      </c>
      <c r="E11" s="50">
        <f t="shared" si="0"/>
        <v>4000</v>
      </c>
      <c r="F11" s="50">
        <f t="shared" si="1"/>
        <v>24000</v>
      </c>
    </row>
    <row r="12" spans="1:8">
      <c r="A12" s="50">
        <v>10</v>
      </c>
      <c r="B12" s="71" t="s">
        <v>119</v>
      </c>
      <c r="C12" s="50">
        <v>1</v>
      </c>
      <c r="D12" s="50">
        <v>15000</v>
      </c>
      <c r="E12" s="50">
        <f t="shared" si="0"/>
        <v>3000</v>
      </c>
      <c r="F12" s="50">
        <f t="shared" si="1"/>
        <v>18000</v>
      </c>
    </row>
    <row r="13" spans="1:8">
      <c r="A13" s="50"/>
      <c r="B13" s="71" t="s">
        <v>102</v>
      </c>
      <c r="C13" s="50">
        <f>SUM(C3:C12)</f>
        <v>10</v>
      </c>
      <c r="D13" s="50">
        <f>SUM(D3:D12)</f>
        <v>265000</v>
      </c>
      <c r="E13" s="50">
        <f>D13*0.2</f>
        <v>53000</v>
      </c>
      <c r="F13" s="50">
        <f t="shared" si="1"/>
        <v>318000</v>
      </c>
      <c r="H13">
        <f>F13*12</f>
        <v>3816000</v>
      </c>
    </row>
  </sheetData>
  <mergeCells count="1">
    <mergeCell ref="A1:F1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E20" sqref="E20"/>
    </sheetView>
  </sheetViews>
  <sheetFormatPr defaultRowHeight="15"/>
  <cols>
    <col min="1" max="1" width="4.85546875" style="56" customWidth="1"/>
    <col min="2" max="2" width="41.140625" style="56" customWidth="1"/>
    <col min="3" max="3" width="15.28515625" style="56" customWidth="1"/>
    <col min="4" max="4" width="24" style="56" customWidth="1"/>
  </cols>
  <sheetData>
    <row r="1" spans="1:4">
      <c r="A1" s="240" t="s">
        <v>137</v>
      </c>
      <c r="B1" s="247"/>
      <c r="C1" s="247"/>
      <c r="D1" s="247"/>
    </row>
    <row r="2" spans="1:4" ht="45">
      <c r="A2" s="58" t="s">
        <v>51</v>
      </c>
      <c r="B2" s="58" t="s">
        <v>52</v>
      </c>
      <c r="C2" s="58" t="s">
        <v>120</v>
      </c>
      <c r="D2" s="58" t="s">
        <v>121</v>
      </c>
    </row>
    <row r="3" spans="1:4">
      <c r="A3" s="58">
        <v>1</v>
      </c>
      <c r="B3" s="70" t="s">
        <v>122</v>
      </c>
      <c r="C3" s="72">
        <v>365</v>
      </c>
      <c r="D3" s="72"/>
    </row>
    <row r="4" spans="1:4" ht="30">
      <c r="A4" s="58">
        <v>2</v>
      </c>
      <c r="B4" s="70" t="s">
        <v>123</v>
      </c>
      <c r="C4" s="72">
        <v>141</v>
      </c>
      <c r="D4" s="72"/>
    </row>
    <row r="5" spans="1:4">
      <c r="A5" s="58">
        <v>3</v>
      </c>
      <c r="B5" s="70" t="s">
        <v>124</v>
      </c>
      <c r="C5" s="72">
        <f>C3-C4</f>
        <v>224</v>
      </c>
      <c r="D5" s="72">
        <v>100</v>
      </c>
    </row>
    <row r="6" spans="1:4">
      <c r="A6" s="58">
        <v>4</v>
      </c>
      <c r="B6" s="70" t="s">
        <v>125</v>
      </c>
      <c r="C6" s="72">
        <v>29</v>
      </c>
      <c r="D6" s="78">
        <f>C6/C5*100</f>
        <v>12.946428571428573</v>
      </c>
    </row>
    <row r="7" spans="1:4">
      <c r="A7" s="76" t="s">
        <v>21</v>
      </c>
      <c r="B7" s="70" t="s">
        <v>126</v>
      </c>
      <c r="C7" s="72">
        <v>24</v>
      </c>
      <c r="D7" s="72"/>
    </row>
    <row r="8" spans="1:4" ht="30">
      <c r="A8" s="76" t="s">
        <v>21</v>
      </c>
      <c r="B8" s="70" t="s">
        <v>127</v>
      </c>
      <c r="C8" s="72">
        <v>3</v>
      </c>
      <c r="D8" s="72"/>
    </row>
    <row r="9" spans="1:4">
      <c r="A9" s="77"/>
      <c r="B9" s="70" t="s">
        <v>128</v>
      </c>
      <c r="C9" s="72">
        <v>1</v>
      </c>
      <c r="D9" s="72"/>
    </row>
    <row r="10" spans="1:4">
      <c r="A10" s="77"/>
      <c r="B10" s="70" t="s">
        <v>129</v>
      </c>
      <c r="C10" s="72">
        <v>1</v>
      </c>
      <c r="D10" s="72"/>
    </row>
    <row r="11" spans="1:4">
      <c r="A11" s="77"/>
      <c r="B11" s="70" t="s">
        <v>130</v>
      </c>
      <c r="C11" s="72" t="s">
        <v>12</v>
      </c>
      <c r="D11" s="72"/>
    </row>
    <row r="12" spans="1:4">
      <c r="A12" s="77"/>
      <c r="B12" s="70" t="s">
        <v>131</v>
      </c>
      <c r="C12" s="72" t="s">
        <v>12</v>
      </c>
      <c r="D12" s="72"/>
    </row>
    <row r="13" spans="1:4" ht="30">
      <c r="A13" s="77">
        <v>5</v>
      </c>
      <c r="B13" s="70" t="s">
        <v>132</v>
      </c>
      <c r="C13" s="72">
        <f>C5-C6</f>
        <v>195</v>
      </c>
      <c r="D13" s="78">
        <f>C13/C5*100</f>
        <v>87.053571428571431</v>
      </c>
    </row>
    <row r="14" spans="1:4">
      <c r="A14" s="77"/>
      <c r="B14" s="70" t="s">
        <v>133</v>
      </c>
      <c r="C14" s="79">
        <v>32</v>
      </c>
      <c r="D14" s="72"/>
    </row>
    <row r="15" spans="1:4">
      <c r="A15" s="58"/>
      <c r="B15" s="70" t="s">
        <v>134</v>
      </c>
      <c r="C15" s="79">
        <v>56</v>
      </c>
      <c r="D15" s="72"/>
    </row>
    <row r="16" spans="1:4">
      <c r="A16" s="58"/>
      <c r="B16" s="70" t="s">
        <v>135</v>
      </c>
      <c r="C16" s="79">
        <v>57</v>
      </c>
      <c r="D16" s="72"/>
    </row>
    <row r="17" spans="1:4">
      <c r="A17" s="58"/>
      <c r="B17" s="70" t="s">
        <v>136</v>
      </c>
      <c r="C17" s="79">
        <v>50</v>
      </c>
      <c r="D17" s="72"/>
    </row>
  </sheetData>
  <mergeCells count="1">
    <mergeCell ref="A1:D1"/>
  </mergeCells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7"/>
  <sheetViews>
    <sheetView topLeftCell="A10" workbookViewId="0">
      <selection activeCell="D13" sqref="D13"/>
    </sheetView>
  </sheetViews>
  <sheetFormatPr defaultRowHeight="15"/>
  <cols>
    <col min="1" max="1" width="4.140625" customWidth="1"/>
    <col min="2" max="2" width="35.140625" style="59" customWidth="1"/>
    <col min="3" max="3" width="7" style="8" customWidth="1"/>
    <col min="4" max="8" width="15.7109375" customWidth="1"/>
    <col min="10" max="11" width="11.5703125" bestFit="1" customWidth="1"/>
    <col min="12" max="12" width="10.5703125" bestFit="1" customWidth="1"/>
    <col min="13" max="13" width="11.5703125" bestFit="1" customWidth="1"/>
    <col min="15" max="15" width="18.28515625" customWidth="1"/>
  </cols>
  <sheetData>
    <row r="1" spans="1:15" ht="15" customHeight="1">
      <c r="A1" s="250" t="s">
        <v>151</v>
      </c>
      <c r="B1" s="251"/>
      <c r="C1" s="251"/>
      <c r="D1" s="251"/>
      <c r="E1" s="251"/>
      <c r="F1" s="251"/>
      <c r="G1" s="251"/>
      <c r="H1" s="252"/>
    </row>
    <row r="2" spans="1:15">
      <c r="A2" s="246" t="s">
        <v>51</v>
      </c>
      <c r="B2" s="253" t="s">
        <v>52</v>
      </c>
      <c r="C2" s="240" t="s">
        <v>76</v>
      </c>
      <c r="D2" s="240" t="s">
        <v>53</v>
      </c>
      <c r="E2" s="240" t="s">
        <v>54</v>
      </c>
      <c r="F2" s="240"/>
      <c r="G2" s="240"/>
      <c r="H2" s="240"/>
    </row>
    <row r="3" spans="1:15">
      <c r="A3" s="246"/>
      <c r="B3" s="253"/>
      <c r="C3" s="240"/>
      <c r="D3" s="240"/>
      <c r="E3" s="58" t="s">
        <v>133</v>
      </c>
      <c r="F3" s="58" t="s">
        <v>134</v>
      </c>
      <c r="G3" s="58" t="s">
        <v>135</v>
      </c>
      <c r="H3" s="58" t="s">
        <v>136</v>
      </c>
      <c r="J3" s="85" t="s">
        <v>153</v>
      </c>
      <c r="K3">
        <v>1</v>
      </c>
      <c r="L3">
        <v>2</v>
      </c>
      <c r="M3" s="1">
        <v>3</v>
      </c>
      <c r="N3" s="1">
        <v>4</v>
      </c>
    </row>
    <row r="4" spans="1:15" ht="31.5">
      <c r="A4" s="72">
        <v>1</v>
      </c>
      <c r="B4" s="74" t="s">
        <v>138</v>
      </c>
      <c r="C4" s="51" t="s">
        <v>139</v>
      </c>
      <c r="D4" s="86">
        <v>46017</v>
      </c>
      <c r="E4" s="87">
        <v>29021</v>
      </c>
      <c r="F4" s="87">
        <v>12371</v>
      </c>
      <c r="G4" s="86">
        <v>4625</v>
      </c>
      <c r="H4" s="87" t="s">
        <v>12</v>
      </c>
      <c r="J4" s="68">
        <v>2517.1387318675002</v>
      </c>
      <c r="K4" s="68">
        <v>1086.5645174925</v>
      </c>
      <c r="L4" s="68">
        <v>1020.235356125</v>
      </c>
      <c r="M4" s="68">
        <v>410.33885824999999</v>
      </c>
      <c r="N4" s="68">
        <v>0</v>
      </c>
    </row>
    <row r="5" spans="1:15" ht="15.75">
      <c r="A5" s="72">
        <v>2</v>
      </c>
      <c r="B5" s="74" t="s">
        <v>140</v>
      </c>
      <c r="C5" s="51" t="s">
        <v>141</v>
      </c>
      <c r="D5" s="88">
        <f>SUM(D6:D8)</f>
        <v>75.372557011592065</v>
      </c>
      <c r="E5" s="88">
        <f>SUM(E6:E8)</f>
        <v>49.955141171640626</v>
      </c>
      <c r="F5" s="88">
        <f>SUM(F6:F8)</f>
        <v>34.218488502232141</v>
      </c>
      <c r="G5" s="88">
        <f>SUM(G6:G8)</f>
        <v>23.198927337719297</v>
      </c>
      <c r="H5" s="88">
        <f>SUM(H6:H8)</f>
        <v>16</v>
      </c>
      <c r="J5" s="72">
        <v>195</v>
      </c>
      <c r="K5">
        <v>32</v>
      </c>
      <c r="L5">
        <v>56</v>
      </c>
      <c r="M5">
        <v>57</v>
      </c>
      <c r="N5">
        <v>50</v>
      </c>
    </row>
    <row r="6" spans="1:15" ht="15.75">
      <c r="A6" s="73">
        <v>2.1</v>
      </c>
      <c r="B6" s="74" t="s">
        <v>142</v>
      </c>
      <c r="C6" s="51" t="s">
        <v>141</v>
      </c>
      <c r="D6" s="88">
        <f>SUM(E6:G6)</f>
        <v>59.372557011592065</v>
      </c>
      <c r="E6" s="89">
        <v>33.955141171640626</v>
      </c>
      <c r="F6" s="89">
        <v>18.218488502232141</v>
      </c>
      <c r="G6" s="89">
        <v>7.1989273377192982</v>
      </c>
      <c r="H6" s="88" t="s">
        <v>12</v>
      </c>
      <c r="J6" s="79"/>
      <c r="K6" s="79">
        <f>K4/K5</f>
        <v>33.955141171640626</v>
      </c>
      <c r="L6" s="79">
        <f>L4/L5</f>
        <v>18.218488502232141</v>
      </c>
      <c r="M6" s="79">
        <f>M4/M5</f>
        <v>7.1989273377192982</v>
      </c>
      <c r="N6" s="79">
        <f>N4/N5</f>
        <v>0</v>
      </c>
      <c r="O6" s="1" t="s">
        <v>154</v>
      </c>
    </row>
    <row r="7" spans="1:15" ht="15.75">
      <c r="A7" s="73">
        <v>2.2000000000000002</v>
      </c>
      <c r="B7" s="74" t="s">
        <v>143</v>
      </c>
      <c r="C7" s="51" t="s">
        <v>141</v>
      </c>
      <c r="D7" s="88">
        <v>6</v>
      </c>
      <c r="E7" s="88">
        <v>6</v>
      </c>
      <c r="F7" s="88">
        <v>6</v>
      </c>
      <c r="G7" s="88">
        <v>6</v>
      </c>
      <c r="H7" s="88">
        <v>6</v>
      </c>
      <c r="J7" s="79"/>
    </row>
    <row r="8" spans="1:15" ht="15.75">
      <c r="A8" s="73">
        <v>2.2999999999999998</v>
      </c>
      <c r="B8" s="74" t="s">
        <v>144</v>
      </c>
      <c r="C8" s="51" t="s">
        <v>141</v>
      </c>
      <c r="D8" s="88">
        <v>10</v>
      </c>
      <c r="E8" s="88">
        <v>10</v>
      </c>
      <c r="F8" s="88">
        <v>10</v>
      </c>
      <c r="G8" s="88">
        <v>10</v>
      </c>
      <c r="H8" s="88">
        <v>10</v>
      </c>
      <c r="J8" s="79"/>
    </row>
    <row r="9" spans="1:15" ht="31.5">
      <c r="A9" s="73">
        <v>3</v>
      </c>
      <c r="B9" s="74" t="s">
        <v>145</v>
      </c>
      <c r="C9" s="51" t="s">
        <v>139</v>
      </c>
      <c r="D9" s="90">
        <f>D4/D5</f>
        <v>610.52725056047564</v>
      </c>
      <c r="E9" s="90">
        <f>E4/E5</f>
        <v>580.94120683768836</v>
      </c>
      <c r="F9" s="90">
        <f>F4/F5</f>
        <v>361.52970342898152</v>
      </c>
      <c r="G9" s="90">
        <f>G4/G5</f>
        <v>199.36266589706415</v>
      </c>
      <c r="H9" s="58" t="s">
        <v>12</v>
      </c>
      <c r="J9" s="79"/>
    </row>
    <row r="10" spans="1:15" ht="31.5">
      <c r="A10" s="73">
        <v>3.1</v>
      </c>
      <c r="B10" s="74" t="s">
        <v>146</v>
      </c>
      <c r="C10" s="51" t="s">
        <v>155</v>
      </c>
      <c r="D10" s="90">
        <f>D4/D6</f>
        <v>775.05504758731399</v>
      </c>
      <c r="E10" s="90">
        <f>E4/E6</f>
        <v>854.6864774704095</v>
      </c>
      <c r="F10" s="90">
        <f>F4/F6</f>
        <v>679.03547533508595</v>
      </c>
      <c r="G10" s="90">
        <f>G4/G6</f>
        <v>642.45682488931084</v>
      </c>
      <c r="H10" s="58" t="s">
        <v>12</v>
      </c>
    </row>
    <row r="11" spans="1:15" ht="31.5">
      <c r="A11" s="73">
        <v>4</v>
      </c>
      <c r="B11" s="74" t="s">
        <v>147</v>
      </c>
      <c r="C11" s="51" t="s">
        <v>139</v>
      </c>
      <c r="D11" s="58">
        <f>SUM(D12:D14)</f>
        <v>7308.2999999999993</v>
      </c>
      <c r="E11" s="58">
        <f>SUM(E12:E14)</f>
        <v>2245.5</v>
      </c>
      <c r="F11" s="58">
        <f>SUM(F12:F14)</f>
        <v>2173.6</v>
      </c>
      <c r="G11" s="58">
        <f>SUM(G12:G14)</f>
        <v>1613.7</v>
      </c>
      <c r="H11" s="58">
        <f>SUM(H12:H14)</f>
        <v>1275.5</v>
      </c>
      <c r="J11" s="54"/>
      <c r="K11" s="55"/>
      <c r="L11" s="55"/>
      <c r="M11" s="54"/>
      <c r="N11" s="55"/>
    </row>
    <row r="12" spans="1:15" ht="31.5">
      <c r="A12" s="73">
        <v>4.0999999999999996</v>
      </c>
      <c r="B12" s="74" t="s">
        <v>142</v>
      </c>
      <c r="C12" s="51" t="s">
        <v>139</v>
      </c>
      <c r="D12" s="58">
        <f>SUM(E12:G12)</f>
        <v>2206.2999999999997</v>
      </c>
      <c r="E12" s="58">
        <v>970</v>
      </c>
      <c r="F12" s="58">
        <v>898.1</v>
      </c>
      <c r="G12" s="58">
        <v>338.2</v>
      </c>
      <c r="H12" s="58">
        <v>0</v>
      </c>
    </row>
    <row r="13" spans="1:15" ht="31.5">
      <c r="A13" s="73">
        <v>4.2</v>
      </c>
      <c r="B13" s="74" t="s">
        <v>143</v>
      </c>
      <c r="C13" s="51" t="s">
        <v>139</v>
      </c>
      <c r="D13" s="58">
        <f>SUM(E13:H13)</f>
        <v>1286</v>
      </c>
      <c r="E13" s="58">
        <v>321.5</v>
      </c>
      <c r="F13" s="221">
        <v>321.5</v>
      </c>
      <c r="G13" s="221">
        <v>321.5</v>
      </c>
      <c r="H13" s="221">
        <v>321.5</v>
      </c>
      <c r="J13" s="1">
        <f>1235/4</f>
        <v>308.75</v>
      </c>
    </row>
    <row r="14" spans="1:15" ht="31.5">
      <c r="A14" s="73">
        <v>4.3</v>
      </c>
      <c r="B14" s="74" t="s">
        <v>144</v>
      </c>
      <c r="C14" s="51" t="s">
        <v>139</v>
      </c>
      <c r="D14" s="90">
        <f>SUM(E14:H14)</f>
        <v>3816</v>
      </c>
      <c r="E14" s="80">
        <v>954</v>
      </c>
      <c r="F14" s="80">
        <v>954</v>
      </c>
      <c r="G14" s="80">
        <v>954</v>
      </c>
      <c r="H14" s="80">
        <v>954</v>
      </c>
      <c r="K14">
        <f>1286/4</f>
        <v>321.5</v>
      </c>
    </row>
    <row r="15" spans="1:15" ht="31.5">
      <c r="A15" s="73">
        <v>5</v>
      </c>
      <c r="B15" s="74" t="s">
        <v>148</v>
      </c>
      <c r="C15" s="51" t="s">
        <v>156</v>
      </c>
      <c r="D15" s="90">
        <f>D11/D5</f>
        <v>96.962346638657962</v>
      </c>
      <c r="E15" s="90">
        <f>E11/E5</f>
        <v>44.950328381311095</v>
      </c>
      <c r="F15" s="90">
        <f>F11/F5</f>
        <v>63.521216019176642</v>
      </c>
      <c r="G15" s="90">
        <f>G11/G5</f>
        <v>69.559250585533491</v>
      </c>
      <c r="H15" s="90">
        <f>H11/H5</f>
        <v>79.71875</v>
      </c>
    </row>
    <row r="16" spans="1:15" ht="31.5">
      <c r="A16" s="73">
        <v>5.0999999999999996</v>
      </c>
      <c r="B16" s="74" t="s">
        <v>149</v>
      </c>
      <c r="C16" s="51" t="s">
        <v>139</v>
      </c>
      <c r="D16" s="90">
        <f>D12/D6</f>
        <v>37.160265803765796</v>
      </c>
      <c r="E16" s="90">
        <f>E12/E6</f>
        <v>28.567102551472974</v>
      </c>
      <c r="F16" s="90">
        <f>F12/F6</f>
        <v>49.296076339700974</v>
      </c>
      <c r="G16" s="90">
        <f>G12/G6</f>
        <v>46.979221227581604</v>
      </c>
      <c r="H16" s="90" t="s">
        <v>87</v>
      </c>
    </row>
    <row r="17" spans="1:8" ht="63">
      <c r="A17" s="73">
        <v>6</v>
      </c>
      <c r="B17" s="74" t="s">
        <v>150</v>
      </c>
      <c r="C17" s="51" t="s">
        <v>139</v>
      </c>
      <c r="D17" s="90">
        <f>D11/D4*100</f>
        <v>15.88173935719408</v>
      </c>
      <c r="E17" s="90">
        <f>E11/E4*100</f>
        <v>7.7375004307225801</v>
      </c>
      <c r="F17" s="90">
        <f>F11/F4*100</f>
        <v>17.570123676339826</v>
      </c>
      <c r="G17" s="90">
        <f>G11/G4*100</f>
        <v>34.890810810810812</v>
      </c>
      <c r="H17" s="90" t="s">
        <v>12</v>
      </c>
    </row>
  </sheetData>
  <mergeCells count="6">
    <mergeCell ref="A1:H1"/>
    <mergeCell ref="A2:A3"/>
    <mergeCell ref="B2:B3"/>
    <mergeCell ref="C2:C3"/>
    <mergeCell ref="D2:D3"/>
    <mergeCell ref="E2:H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15</vt:i4>
      </vt:variant>
    </vt:vector>
  </HeadingPairs>
  <TitlesOfParts>
    <vt:vector size="31" baseType="lpstr">
      <vt:lpstr>план ввода</vt:lpstr>
      <vt:lpstr>Таблица 1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Таблица 9</vt:lpstr>
      <vt:lpstr>Таблица 10</vt:lpstr>
      <vt:lpstr>Таблица 11</vt:lpstr>
      <vt:lpstr>Таблица 12</vt:lpstr>
      <vt:lpstr>Таблица 13</vt:lpstr>
      <vt:lpstr>Таблица 14</vt:lpstr>
      <vt:lpstr>Таблица 15</vt:lpstr>
      <vt:lpstr>'план ввода'!Область_печати</vt:lpstr>
      <vt:lpstr>'Таблица 1'!Область_печати</vt:lpstr>
      <vt:lpstr>'Таблица 10'!Область_печати</vt:lpstr>
      <vt:lpstr>'Таблица 11'!Область_печати</vt:lpstr>
      <vt:lpstr>'Таблица 12'!Область_печати</vt:lpstr>
      <vt:lpstr>'Таблица 13'!Область_печати</vt:lpstr>
      <vt:lpstr>'Таблица 14'!Область_печати</vt:lpstr>
      <vt:lpstr>'Таблица 15'!Область_печати</vt:lpstr>
      <vt:lpstr>'Таблица 2'!Область_печати</vt:lpstr>
      <vt:lpstr>'Таблица 3'!Область_печати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  <vt:lpstr>'Таблица 9'!Область_печати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</dc:creator>
  <cp:lastModifiedBy>Vadim</cp:lastModifiedBy>
  <cp:lastPrinted>2011-03-23T16:07:46Z</cp:lastPrinted>
  <dcterms:created xsi:type="dcterms:W3CDTF">2011-03-17T13:02:34Z</dcterms:created>
  <dcterms:modified xsi:type="dcterms:W3CDTF">2011-03-25T10:55:31Z</dcterms:modified>
</cp:coreProperties>
</file>